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5 YEAR-2015-16 to 2019-20\With Zero\For uploading\"/>
    </mc:Choice>
  </mc:AlternateContent>
  <xr:revisionPtr revIDLastSave="0" documentId="13_ncr:1_{FDDE1259-CE11-479B-847C-8132F944BFE7}" xr6:coauthVersionLast="46" xr6:coauthVersionMax="46" xr10:uidLastSave="{00000000-0000-0000-0000-000000000000}"/>
  <bookViews>
    <workbookView xWindow="-120" yWindow="-120" windowWidth="20730" windowHeight="11160" tabRatio="910" firstSheet="5" activeTab="17" xr2:uid="{00000000-000D-0000-FFFF-FFFF00000000}"/>
  </bookViews>
  <sheets>
    <sheet name="Summary U" sheetId="17" r:id="rId1"/>
    <sheet name="G Nut U" sheetId="2" r:id="rId2"/>
    <sheet name="Castor U" sheetId="4" r:id="rId3"/>
    <sheet name="Sesamum U" sheetId="6" r:id="rId4"/>
    <sheet name="Niger U" sheetId="5" r:id="rId5"/>
    <sheet name="Soyabean U" sheetId="12" r:id="rId6"/>
    <sheet name="Sunflower U" sheetId="11" r:id="rId7"/>
    <sheet name="R &amp; M U" sheetId="7" r:id="rId8"/>
    <sheet name="Linseed U" sheetId="8" r:id="rId9"/>
    <sheet name="Safflower U" sheetId="10" r:id="rId10"/>
    <sheet name="Kh Oil U" sheetId="13" r:id="rId11"/>
    <sheet name="Rb Oil  U" sheetId="14" r:id="rId12"/>
    <sheet name="Tot Oil U" sheetId="15" r:id="rId13"/>
    <sheet name="Sugarcane " sheetId="22" r:id="rId14"/>
    <sheet name="Cotton " sheetId="18" r:id="rId15"/>
    <sheet name="Jute " sheetId="19" r:id="rId16"/>
    <sheet name="Mesta U" sheetId="20" r:id="rId17"/>
    <sheet name="J &amp; M " sheetId="21" r:id="rId18"/>
  </sheets>
  <definedNames>
    <definedName name="_xlnm.Print_Area" localSheetId="2">'Castor U'!$A$1:$P$27</definedName>
    <definedName name="_xlnm.Print_Area" localSheetId="14">'Cotton '!$A$1:$P$31</definedName>
    <definedName name="_xlnm.Print_Area" localSheetId="1">'G Nut U'!$A$1:$Q$70</definedName>
    <definedName name="_xlnm.Print_Area" localSheetId="17">'J &amp; M '!$A$1:$P$24</definedName>
    <definedName name="_xlnm.Print_Area" localSheetId="15">'Jute '!$A$1:$P$16</definedName>
    <definedName name="_xlnm.Print_Area" localSheetId="10">'Kh Oil U'!$A$1:$P$40</definedName>
    <definedName name="_xlnm.Print_Area" localSheetId="8">'Linseed U'!$A$1:$P$32</definedName>
    <definedName name="_xlnm.Print_Area" localSheetId="16">'Mesta U'!$A$1:$P$22</definedName>
    <definedName name="_xlnm.Print_Area" localSheetId="4">'Niger U'!$A$1:$P$22</definedName>
    <definedName name="_xlnm.Print_Area" localSheetId="7">'R &amp; M U'!$A$1:$P$39</definedName>
    <definedName name="_xlnm.Print_Area" localSheetId="11">'Rb Oil  U'!$A$1:$P$40</definedName>
    <definedName name="_xlnm.Print_Area" localSheetId="9">'Safflower U'!$A$1:$P$19</definedName>
    <definedName name="_xlnm.Print_Area" localSheetId="3">'Sesamum U'!$A$1:$P$38</definedName>
    <definedName name="_xlnm.Print_Area" localSheetId="5">'Soyabean U'!$A$1:$P$31</definedName>
    <definedName name="_xlnm.Print_Area" localSheetId="13">'Sugarcane '!$A$1:$P$38</definedName>
    <definedName name="_xlnm.Print_Area" localSheetId="0">'Summary U'!$A$1:$Q$35</definedName>
    <definedName name="_xlnm.Print_Area" localSheetId="6">'Sunflower U'!$A$1:$Q$55</definedName>
    <definedName name="_xlnm.Print_Area" localSheetId="12">'Tot Oil U'!$A$1:$P$40</definedName>
    <definedName name="_xlnm.Print_Titles" localSheetId="2">'Castor U'!$A:$A</definedName>
    <definedName name="_xlnm.Print_Titles" localSheetId="17">'J &amp; M '!$A:$A</definedName>
    <definedName name="_xlnm.Print_Titles" localSheetId="15">'Jute '!$A:$A</definedName>
    <definedName name="_xlnm.Print_Titles" localSheetId="10">'Kh Oil U'!$A:$A</definedName>
    <definedName name="_xlnm.Print_Titles" localSheetId="8">'Linseed U'!$A:$A</definedName>
    <definedName name="_xlnm.Print_Titles" localSheetId="16">'Mesta U'!$A:$A</definedName>
    <definedName name="_xlnm.Print_Titles" localSheetId="4">'Niger U'!$A:$A</definedName>
    <definedName name="_xlnm.Print_Titles" localSheetId="7">'R &amp; M U'!$A:$A</definedName>
    <definedName name="_xlnm.Print_Titles" localSheetId="11">'Rb Oil  U'!$A:$A</definedName>
    <definedName name="_xlnm.Print_Titles" localSheetId="9">'Safflower U'!$A:$A</definedName>
    <definedName name="_xlnm.Print_Titles" localSheetId="3">'Sesamum U'!$A:$A</definedName>
    <definedName name="_xlnm.Print_Titles" localSheetId="5">'Soyabean U'!$A:$A</definedName>
    <definedName name="_xlnm.Print_Titles" localSheetId="13">'Sugarcane '!$A:$A</definedName>
    <definedName name="_xlnm.Print_Titles" localSheetId="0">'Summary U'!$A:$B</definedName>
    <definedName name="_xlnm.Print_Titles" localSheetId="6">'Sunflower U'!$A:$B</definedName>
    <definedName name="_xlnm.Print_Titles" localSheetId="12">'Tot Oil U'!$A:$A</definedName>
  </definedNames>
  <calcPr calcId="181029"/>
</workbook>
</file>

<file path=xl/calcChain.xml><?xml version="1.0" encoding="utf-8"?>
<calcChain xmlns="http://schemas.openxmlformats.org/spreadsheetml/2006/main">
  <c r="P7" i="20" l="1"/>
  <c r="C31" i="13" l="1"/>
  <c r="D31" i="13"/>
  <c r="E31" i="13"/>
  <c r="F31" i="13"/>
  <c r="B31" i="13"/>
  <c r="C14" i="14"/>
  <c r="D14" i="14"/>
  <c r="E14" i="14"/>
  <c r="F14" i="14"/>
  <c r="B14" i="14"/>
  <c r="C14" i="13"/>
  <c r="D14" i="13"/>
  <c r="E14" i="13"/>
  <c r="F14" i="13"/>
  <c r="B14" i="13"/>
  <c r="M20" i="11"/>
  <c r="N20" i="11"/>
  <c r="C7" i="13"/>
  <c r="D7" i="13"/>
  <c r="E7" i="13"/>
  <c r="C8" i="13"/>
  <c r="D8" i="13"/>
  <c r="E8" i="13"/>
  <c r="C9" i="13"/>
  <c r="D9" i="13"/>
  <c r="E9" i="13"/>
  <c r="D10" i="13"/>
  <c r="E10" i="13"/>
  <c r="C11" i="13"/>
  <c r="D11" i="13"/>
  <c r="E11" i="13"/>
  <c r="C12" i="13"/>
  <c r="D12" i="13"/>
  <c r="E12" i="13"/>
  <c r="C13" i="13"/>
  <c r="D13" i="13"/>
  <c r="E13" i="13"/>
  <c r="C15" i="13"/>
  <c r="D15" i="13"/>
  <c r="E15" i="13"/>
  <c r="C16" i="13"/>
  <c r="D16" i="13"/>
  <c r="E16" i="13"/>
  <c r="C17" i="13"/>
  <c r="D17" i="13"/>
  <c r="E17" i="13"/>
  <c r="C18" i="13"/>
  <c r="D18" i="13"/>
  <c r="E18" i="13"/>
  <c r="C19" i="13"/>
  <c r="D19" i="13"/>
  <c r="E19" i="13"/>
  <c r="C20" i="13"/>
  <c r="D20" i="13"/>
  <c r="E20" i="13"/>
  <c r="C21" i="13"/>
  <c r="D21" i="13"/>
  <c r="E21" i="13"/>
  <c r="C22" i="13"/>
  <c r="D22" i="13"/>
  <c r="E22" i="13"/>
  <c r="C23" i="13"/>
  <c r="D23" i="13"/>
  <c r="E23" i="13"/>
  <c r="C24" i="13"/>
  <c r="D24" i="13"/>
  <c r="E24" i="13"/>
  <c r="C25" i="13"/>
  <c r="D25" i="13"/>
  <c r="E25" i="13"/>
  <c r="D26" i="13"/>
  <c r="E26" i="13"/>
  <c r="C27" i="13"/>
  <c r="D27" i="13"/>
  <c r="E27" i="13"/>
  <c r="C28" i="13"/>
  <c r="D28" i="13"/>
  <c r="E28" i="13"/>
  <c r="C29" i="13"/>
  <c r="D29" i="13"/>
  <c r="E29" i="13"/>
  <c r="C30" i="13"/>
  <c r="D30" i="13"/>
  <c r="E30" i="13"/>
  <c r="D32" i="13"/>
  <c r="E32" i="13"/>
  <c r="C33" i="13"/>
  <c r="D33" i="13"/>
  <c r="E33" i="13"/>
  <c r="C34" i="13"/>
  <c r="D34" i="13"/>
  <c r="E34" i="13"/>
  <c r="C35" i="13"/>
  <c r="D35" i="13"/>
  <c r="E35" i="13"/>
  <c r="C36" i="13"/>
  <c r="D36" i="13"/>
  <c r="E36" i="13"/>
  <c r="C37" i="13"/>
  <c r="D37" i="13"/>
  <c r="E37" i="13"/>
  <c r="D38" i="13"/>
  <c r="E38" i="13"/>
  <c r="K31" i="8"/>
  <c r="K10" i="14" l="1"/>
  <c r="I10" i="14" l="1"/>
  <c r="J10" i="14"/>
  <c r="H11" i="14"/>
  <c r="I11" i="14"/>
  <c r="J11" i="14"/>
  <c r="K11" i="14"/>
  <c r="F14" i="15"/>
  <c r="I10" i="13"/>
  <c r="J10" i="13"/>
  <c r="K10" i="13"/>
  <c r="K10" i="15" s="1"/>
  <c r="F10" i="13"/>
  <c r="K9" i="14"/>
  <c r="H9" i="14"/>
  <c r="I9" i="14"/>
  <c r="J9" i="14"/>
  <c r="G9" i="14"/>
  <c r="B8" i="13"/>
  <c r="B9" i="13"/>
  <c r="B11" i="13"/>
  <c r="B12" i="13"/>
  <c r="B15" i="13"/>
  <c r="B16" i="13"/>
  <c r="B17" i="13"/>
  <c r="B18" i="13"/>
  <c r="B19" i="13"/>
  <c r="B20" i="13"/>
  <c r="B21" i="13"/>
  <c r="B22" i="13"/>
  <c r="B23" i="13"/>
  <c r="B24" i="13"/>
  <c r="B25" i="13"/>
  <c r="B27" i="13"/>
  <c r="B28" i="13"/>
  <c r="B29" i="13"/>
  <c r="B32" i="13"/>
  <c r="B33" i="13"/>
  <c r="B34" i="13"/>
  <c r="B36" i="13"/>
  <c r="B37" i="13"/>
  <c r="K7" i="13"/>
  <c r="K8" i="13"/>
  <c r="K9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7" i="14"/>
  <c r="K8" i="14"/>
  <c r="K12" i="14"/>
  <c r="K13" i="14"/>
  <c r="K14" i="14"/>
  <c r="K15" i="14"/>
  <c r="K15" i="15" s="1"/>
  <c r="K16" i="14"/>
  <c r="K17" i="14"/>
  <c r="K18" i="14"/>
  <c r="K19" i="14"/>
  <c r="K19" i="15" s="1"/>
  <c r="K20" i="14"/>
  <c r="K21" i="14"/>
  <c r="K22" i="14"/>
  <c r="K23" i="14"/>
  <c r="K23" i="15" s="1"/>
  <c r="K24" i="14"/>
  <c r="K25" i="14"/>
  <c r="K26" i="14"/>
  <c r="K27" i="14"/>
  <c r="K27" i="15" s="1"/>
  <c r="K28" i="14"/>
  <c r="K29" i="14"/>
  <c r="K30" i="14"/>
  <c r="K31" i="14"/>
  <c r="K31" i="15" s="1"/>
  <c r="K32" i="14"/>
  <c r="K33" i="14"/>
  <c r="K34" i="14"/>
  <c r="K35" i="14"/>
  <c r="K36" i="14"/>
  <c r="K37" i="14"/>
  <c r="K38" i="14"/>
  <c r="K38" i="15" s="1"/>
  <c r="K39" i="14"/>
  <c r="F7" i="14"/>
  <c r="F8" i="14"/>
  <c r="F9" i="14"/>
  <c r="F10" i="14"/>
  <c r="F10" i="15" s="1"/>
  <c r="F11" i="14"/>
  <c r="F12" i="14"/>
  <c r="F13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1" i="15" s="1"/>
  <c r="F32" i="14"/>
  <c r="F33" i="14"/>
  <c r="F34" i="14"/>
  <c r="F35" i="14"/>
  <c r="F36" i="14"/>
  <c r="F37" i="14"/>
  <c r="F38" i="14"/>
  <c r="F38" i="15" s="1"/>
  <c r="F39" i="14"/>
  <c r="F34" i="13"/>
  <c r="F32" i="13"/>
  <c r="F33" i="13"/>
  <c r="F35" i="13"/>
  <c r="F36" i="13"/>
  <c r="F36" i="15" s="1"/>
  <c r="F37" i="13"/>
  <c r="F37" i="15" s="1"/>
  <c r="F38" i="13"/>
  <c r="F7" i="13"/>
  <c r="F8" i="13"/>
  <c r="F9" i="13"/>
  <c r="F11" i="13"/>
  <c r="F12" i="13"/>
  <c r="F13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29" i="15" s="1"/>
  <c r="F30" i="13"/>
  <c r="H34" i="13"/>
  <c r="I34" i="13"/>
  <c r="J34" i="13"/>
  <c r="G34" i="13"/>
  <c r="H31" i="13"/>
  <c r="I31" i="13"/>
  <c r="J31" i="13"/>
  <c r="G31" i="13"/>
  <c r="P23" i="4"/>
  <c r="O23" i="4"/>
  <c r="N23" i="4"/>
  <c r="M23" i="4"/>
  <c r="L23" i="4"/>
  <c r="L24" i="4"/>
  <c r="M24" i="4"/>
  <c r="N24" i="4"/>
  <c r="O24" i="4"/>
  <c r="P24" i="4"/>
  <c r="K37" i="15" l="1"/>
  <c r="F27" i="15"/>
  <c r="F23" i="15"/>
  <c r="K39" i="15"/>
  <c r="K34" i="15"/>
  <c r="K26" i="15"/>
  <c r="K22" i="15"/>
  <c r="K18" i="15"/>
  <c r="F12" i="15"/>
  <c r="K36" i="15"/>
  <c r="F19" i="15"/>
  <c r="K12" i="15"/>
  <c r="K14" i="15"/>
  <c r="F15" i="15"/>
  <c r="F39" i="15"/>
  <c r="F30" i="15"/>
  <c r="F13" i="15"/>
  <c r="F32" i="15"/>
  <c r="F28" i="15"/>
  <c r="F24" i="15"/>
  <c r="F20" i="15"/>
  <c r="F16" i="15"/>
  <c r="F11" i="15"/>
  <c r="K32" i="15"/>
  <c r="K28" i="15"/>
  <c r="K24" i="15"/>
  <c r="K20" i="15"/>
  <c r="K16" i="15"/>
  <c r="K29" i="15"/>
  <c r="K13" i="15"/>
  <c r="K35" i="15"/>
  <c r="F34" i="15"/>
  <c r="F22" i="15"/>
  <c r="F18" i="15"/>
  <c r="F9" i="15"/>
  <c r="K7" i="15"/>
  <c r="F33" i="15"/>
  <c r="F25" i="15"/>
  <c r="F21" i="15"/>
  <c r="F17" i="15"/>
  <c r="F8" i="15"/>
  <c r="K33" i="15"/>
  <c r="K25" i="15"/>
  <c r="K21" i="15"/>
  <c r="K17" i="15"/>
  <c r="K30" i="15"/>
  <c r="K9" i="15"/>
  <c r="K11" i="15"/>
  <c r="F7" i="15"/>
  <c r="F35" i="15"/>
  <c r="F26" i="15"/>
  <c r="K8" i="15"/>
  <c r="J22" i="20" l="1"/>
  <c r="K22" i="20"/>
  <c r="F22" i="20"/>
  <c r="E22" i="20"/>
  <c r="K15" i="19"/>
  <c r="F15" i="19"/>
  <c r="E15" i="19"/>
  <c r="K30" i="18"/>
  <c r="P30" i="18" s="1"/>
  <c r="F30" i="18"/>
  <c r="K38" i="22"/>
  <c r="J38" i="22"/>
  <c r="F38" i="22"/>
  <c r="G29" i="17" s="1"/>
  <c r="E38" i="22"/>
  <c r="P39" i="14"/>
  <c r="P38" i="14"/>
  <c r="C39" i="14"/>
  <c r="D39" i="14"/>
  <c r="D39" i="15" s="1"/>
  <c r="E39" i="14"/>
  <c r="E39" i="15" s="1"/>
  <c r="G39" i="14"/>
  <c r="H39" i="14"/>
  <c r="M39" i="14" s="1"/>
  <c r="I39" i="14"/>
  <c r="N39" i="14" s="1"/>
  <c r="J39" i="14"/>
  <c r="O39" i="14" s="1"/>
  <c r="B39" i="14"/>
  <c r="K19" i="10"/>
  <c r="F19" i="10"/>
  <c r="F31" i="8"/>
  <c r="K38" i="7"/>
  <c r="F38" i="7"/>
  <c r="G52" i="11"/>
  <c r="G16" i="17" s="1"/>
  <c r="G53" i="11"/>
  <c r="G54" i="11" s="1"/>
  <c r="L52" i="11"/>
  <c r="L53" i="11"/>
  <c r="L54" i="11" s="1"/>
  <c r="K30" i="12"/>
  <c r="L19" i="17" s="1"/>
  <c r="F30" i="12"/>
  <c r="G19" i="17" s="1"/>
  <c r="K22" i="5"/>
  <c r="F22" i="5"/>
  <c r="K37" i="6"/>
  <c r="F37" i="6"/>
  <c r="K26" i="4"/>
  <c r="F26" i="4"/>
  <c r="L67" i="2"/>
  <c r="L68" i="2"/>
  <c r="L8" i="17"/>
  <c r="L32" i="17"/>
  <c r="L31" i="17"/>
  <c r="L29" i="17"/>
  <c r="L17" i="17"/>
  <c r="L16" i="17"/>
  <c r="L15" i="17"/>
  <c r="L14" i="17"/>
  <c r="L13" i="17"/>
  <c r="L12" i="17"/>
  <c r="L11" i="17"/>
  <c r="L10" i="17"/>
  <c r="G32" i="17"/>
  <c r="G30" i="17"/>
  <c r="G28" i="17"/>
  <c r="G17" i="17"/>
  <c r="G15" i="17"/>
  <c r="G13" i="17"/>
  <c r="G11" i="17"/>
  <c r="G10" i="17"/>
  <c r="G9" i="17"/>
  <c r="G8" i="17"/>
  <c r="G7" i="17"/>
  <c r="P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6" i="21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K28" i="20"/>
  <c r="K29" i="20" s="1"/>
  <c r="F28" i="20"/>
  <c r="P14" i="19"/>
  <c r="P13" i="19"/>
  <c r="P12" i="19"/>
  <c r="P11" i="19"/>
  <c r="P10" i="19"/>
  <c r="P9" i="19"/>
  <c r="P8" i="19"/>
  <c r="P7" i="19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38" i="22" l="1"/>
  <c r="L30" i="17"/>
  <c r="F29" i="20"/>
  <c r="F23" i="21"/>
  <c r="G33" i="17" s="1"/>
  <c r="Q33" i="17" s="1"/>
  <c r="K23" i="21"/>
  <c r="G31" i="17"/>
  <c r="P15" i="19"/>
  <c r="K40" i="14"/>
  <c r="G12" i="17"/>
  <c r="Q12" i="17" s="1"/>
  <c r="L33" i="17"/>
  <c r="K39" i="13"/>
  <c r="L26" i="17" s="1"/>
  <c r="L20" i="17" s="1"/>
  <c r="F39" i="13"/>
  <c r="F40" i="14"/>
  <c r="G27" i="17" s="1"/>
  <c r="L69" i="2"/>
  <c r="L39" i="14"/>
  <c r="P31" i="8"/>
  <c r="G14" i="17"/>
  <c r="G24" i="17" s="1"/>
  <c r="L24" i="17"/>
  <c r="Q32" i="17"/>
  <c r="Q31" i="17"/>
  <c r="Q30" i="17"/>
  <c r="Q29" i="17"/>
  <c r="Q15" i="17"/>
  <c r="Q13" i="17"/>
  <c r="G18" i="17"/>
  <c r="Q17" i="17"/>
  <c r="Q16" i="17"/>
  <c r="L18" i="17"/>
  <c r="Q18" i="17" s="1"/>
  <c r="Q11" i="17"/>
  <c r="Q19" i="17"/>
  <c r="Q8" i="17"/>
  <c r="L9" i="17"/>
  <c r="Q9" i="17" s="1"/>
  <c r="L7" i="17"/>
  <c r="Q7" i="17" s="1"/>
  <c r="Q10" i="17"/>
  <c r="L23" i="17"/>
  <c r="G23" i="1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8" i="12"/>
  <c r="P7" i="12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26" i="4"/>
  <c r="P25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P23" i="21" l="1"/>
  <c r="P40" i="14"/>
  <c r="P39" i="13"/>
  <c r="K40" i="15"/>
  <c r="G26" i="17"/>
  <c r="G20" i="17" s="1"/>
  <c r="Q20" i="17" s="1"/>
  <c r="Q24" i="17"/>
  <c r="G21" i="17"/>
  <c r="Q14" i="17"/>
  <c r="G25" i="17"/>
  <c r="L27" i="17"/>
  <c r="Q27" i="17" s="1"/>
  <c r="L25" i="17"/>
  <c r="Q23" i="17"/>
  <c r="P40" i="15" l="1"/>
  <c r="L28" i="17"/>
  <c r="Q28" i="17" s="1"/>
  <c r="Q26" i="17"/>
  <c r="G22" i="17"/>
  <c r="L21" i="17"/>
  <c r="Q21" i="17" s="1"/>
  <c r="L22" i="17"/>
  <c r="Q25" i="17"/>
  <c r="M17" i="11"/>
  <c r="N17" i="11"/>
  <c r="O17" i="11"/>
  <c r="M18" i="11"/>
  <c r="N18" i="11"/>
  <c r="O18" i="11"/>
  <c r="N16" i="11"/>
  <c r="O16" i="11"/>
  <c r="M16" i="11"/>
  <c r="Q22" i="17" l="1"/>
  <c r="J30" i="18"/>
  <c r="L32" i="22"/>
  <c r="M32" i="22"/>
  <c r="N32" i="22"/>
  <c r="O32" i="22"/>
  <c r="E19" i="10"/>
  <c r="L30" i="8"/>
  <c r="M30" i="8"/>
  <c r="N30" i="8"/>
  <c r="O30" i="8"/>
  <c r="L32" i="7"/>
  <c r="M32" i="7"/>
  <c r="N32" i="7"/>
  <c r="O32" i="7"/>
  <c r="J38" i="7"/>
  <c r="F53" i="11"/>
  <c r="E53" i="11"/>
  <c r="J30" i="12"/>
  <c r="E30" i="12"/>
  <c r="E22" i="5"/>
  <c r="L32" i="6"/>
  <c r="M32" i="6"/>
  <c r="N32" i="6"/>
  <c r="O32" i="6"/>
  <c r="F67" i="2" l="1"/>
  <c r="P8" i="2"/>
  <c r="J13" i="14"/>
  <c r="E30" i="14" l="1"/>
  <c r="P62" i="2"/>
  <c r="P31" i="2"/>
  <c r="P32" i="11"/>
  <c r="Q32" i="20"/>
  <c r="O31" i="2"/>
  <c r="O32" i="11"/>
  <c r="O32" i="20"/>
  <c r="N31" i="2"/>
  <c r="N32" i="20"/>
  <c r="M31" i="2"/>
  <c r="M32" i="20"/>
  <c r="L32" i="20"/>
  <c r="E13" i="14"/>
  <c r="E38" i="14"/>
  <c r="E37" i="14"/>
  <c r="E36" i="14"/>
  <c r="E35" i="14"/>
  <c r="E34" i="14"/>
  <c r="E33" i="14"/>
  <c r="E32" i="14"/>
  <c r="E31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2" i="14"/>
  <c r="E11" i="14"/>
  <c r="E10" i="14"/>
  <c r="E9" i="14"/>
  <c r="E8" i="14"/>
  <c r="E7" i="14"/>
  <c r="J28" i="20" l="1"/>
  <c r="J29" i="20" s="1"/>
  <c r="I28" i="20"/>
  <c r="H22" i="20"/>
  <c r="I22" i="20"/>
  <c r="D28" i="20"/>
  <c r="E28" i="20"/>
  <c r="J15" i="19"/>
  <c r="J23" i="21" s="1"/>
  <c r="K33" i="17" s="1"/>
  <c r="E30" i="18"/>
  <c r="J19" i="10"/>
  <c r="E31" i="8"/>
  <c r="J31" i="8"/>
  <c r="E38" i="7"/>
  <c r="K53" i="11"/>
  <c r="K52" i="11"/>
  <c r="F52" i="11"/>
  <c r="J22" i="5"/>
  <c r="J37" i="6"/>
  <c r="E37" i="6"/>
  <c r="J26" i="4"/>
  <c r="E26" i="4"/>
  <c r="F10" i="17" s="1"/>
  <c r="K67" i="2"/>
  <c r="K7" i="17" s="1"/>
  <c r="K68" i="2"/>
  <c r="F68" i="2"/>
  <c r="F69" i="2" s="1"/>
  <c r="F9" i="17" s="1"/>
  <c r="O18" i="21"/>
  <c r="O11" i="21"/>
  <c r="J22" i="21"/>
  <c r="J21" i="21"/>
  <c r="J20" i="21"/>
  <c r="J19" i="21"/>
  <c r="J17" i="21"/>
  <c r="J16" i="21"/>
  <c r="J15" i="21"/>
  <c r="J14" i="21"/>
  <c r="J13" i="21"/>
  <c r="J12" i="21"/>
  <c r="J10" i="21"/>
  <c r="J9" i="21"/>
  <c r="J8" i="21"/>
  <c r="J7" i="21"/>
  <c r="J6" i="21"/>
  <c r="E22" i="21"/>
  <c r="E21" i="21"/>
  <c r="E20" i="21"/>
  <c r="E19" i="21"/>
  <c r="E17" i="21"/>
  <c r="E16" i="21"/>
  <c r="E15" i="21"/>
  <c r="E14" i="21"/>
  <c r="E13" i="21"/>
  <c r="E12" i="21"/>
  <c r="E10" i="21"/>
  <c r="E9" i="21"/>
  <c r="E8" i="21"/>
  <c r="E7" i="21"/>
  <c r="E6" i="21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7" i="20"/>
  <c r="O14" i="19"/>
  <c r="O13" i="19"/>
  <c r="O12" i="19"/>
  <c r="O11" i="19"/>
  <c r="O10" i="19"/>
  <c r="O9" i="19"/>
  <c r="O8" i="19"/>
  <c r="O7" i="19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38" i="22"/>
  <c r="O37" i="22"/>
  <c r="O36" i="22"/>
  <c r="O35" i="22"/>
  <c r="O34" i="22"/>
  <c r="O33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J38" i="14"/>
  <c r="J37" i="14"/>
  <c r="J36" i="14"/>
  <c r="O36" i="14" s="1"/>
  <c r="J35" i="14"/>
  <c r="O35" i="14" s="1"/>
  <c r="J34" i="14"/>
  <c r="J33" i="14"/>
  <c r="J32" i="14"/>
  <c r="O32" i="14" s="1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2" i="14"/>
  <c r="J8" i="14"/>
  <c r="J7" i="14"/>
  <c r="E38" i="15"/>
  <c r="J38" i="13"/>
  <c r="J39" i="15" s="1"/>
  <c r="J37" i="13"/>
  <c r="J36" i="13"/>
  <c r="J36" i="15" s="1"/>
  <c r="J35" i="13"/>
  <c r="J33" i="13"/>
  <c r="J32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9" i="13"/>
  <c r="J8" i="13"/>
  <c r="J7" i="13"/>
  <c r="E37" i="15"/>
  <c r="E33" i="15"/>
  <c r="E29" i="15"/>
  <c r="E25" i="15"/>
  <c r="E21" i="15"/>
  <c r="E17" i="15"/>
  <c r="E13" i="15"/>
  <c r="E9" i="15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8" i="12"/>
  <c r="O7" i="12"/>
  <c r="O18" i="10"/>
  <c r="O17" i="10"/>
  <c r="O16" i="10"/>
  <c r="O15" i="10"/>
  <c r="O14" i="10"/>
  <c r="O13" i="10"/>
  <c r="O12" i="10"/>
  <c r="O11" i="10"/>
  <c r="O10" i="10"/>
  <c r="O9" i="10"/>
  <c r="O8" i="10"/>
  <c r="O7" i="10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38" i="7"/>
  <c r="O37" i="7"/>
  <c r="O36" i="7"/>
  <c r="O35" i="7"/>
  <c r="O34" i="7"/>
  <c r="O33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36" i="6"/>
  <c r="O35" i="6"/>
  <c r="O34" i="6"/>
  <c r="O33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K29" i="17"/>
  <c r="K32" i="17"/>
  <c r="K31" i="17"/>
  <c r="K30" i="17"/>
  <c r="K19" i="17"/>
  <c r="K17" i="17"/>
  <c r="K16" i="17"/>
  <c r="K15" i="17"/>
  <c r="K12" i="17"/>
  <c r="K11" i="17"/>
  <c r="F29" i="17"/>
  <c r="F32" i="17"/>
  <c r="F31" i="17"/>
  <c r="F19" i="17"/>
  <c r="F17" i="17"/>
  <c r="F16" i="17"/>
  <c r="F15" i="17"/>
  <c r="F13" i="17"/>
  <c r="F12" i="17"/>
  <c r="F8" i="17"/>
  <c r="F7" i="17"/>
  <c r="O25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E52" i="11"/>
  <c r="E54" i="11" s="1"/>
  <c r="P66" i="2"/>
  <c r="P65" i="2"/>
  <c r="P64" i="2"/>
  <c r="P63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37" i="2"/>
  <c r="P36" i="2"/>
  <c r="P35" i="2"/>
  <c r="P34" i="2"/>
  <c r="P33" i="2"/>
  <c r="P32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7" i="2"/>
  <c r="P6" i="2"/>
  <c r="E67" i="2"/>
  <c r="E68" i="2"/>
  <c r="D38" i="22"/>
  <c r="E29" i="17" s="1"/>
  <c r="N35" i="22"/>
  <c r="G14" i="14"/>
  <c r="H14" i="14"/>
  <c r="I14" i="14"/>
  <c r="B15" i="14"/>
  <c r="C15" i="14"/>
  <c r="D15" i="14"/>
  <c r="G15" i="14"/>
  <c r="H15" i="14"/>
  <c r="I15" i="14"/>
  <c r="B20" i="14"/>
  <c r="C20" i="14"/>
  <c r="D20" i="14"/>
  <c r="G20" i="14"/>
  <c r="H20" i="14"/>
  <c r="I20" i="14"/>
  <c r="I20" i="13"/>
  <c r="J53" i="11"/>
  <c r="C21" i="11"/>
  <c r="D21" i="11"/>
  <c r="E21" i="11"/>
  <c r="H21" i="11"/>
  <c r="I21" i="11"/>
  <c r="J21" i="11"/>
  <c r="M19" i="11"/>
  <c r="N19" i="11"/>
  <c r="O19" i="11"/>
  <c r="O20" i="11"/>
  <c r="J68" i="2"/>
  <c r="J8" i="17" s="1"/>
  <c r="O29" i="2"/>
  <c r="C30" i="2"/>
  <c r="D30" i="2"/>
  <c r="E30" i="2"/>
  <c r="H30" i="2"/>
  <c r="I30" i="2"/>
  <c r="J30" i="2"/>
  <c r="D29" i="17"/>
  <c r="I29" i="17"/>
  <c r="D32" i="17"/>
  <c r="D31" i="17"/>
  <c r="I31" i="17"/>
  <c r="D30" i="17"/>
  <c r="I30" i="17"/>
  <c r="N11" i="21"/>
  <c r="N18" i="21"/>
  <c r="C23" i="21"/>
  <c r="D33" i="17" s="1"/>
  <c r="B22" i="21"/>
  <c r="C22" i="21"/>
  <c r="D22" i="21"/>
  <c r="G22" i="21"/>
  <c r="H22" i="21"/>
  <c r="I22" i="21"/>
  <c r="B21" i="21"/>
  <c r="C21" i="21"/>
  <c r="D21" i="21"/>
  <c r="G21" i="21"/>
  <c r="H21" i="21"/>
  <c r="I21" i="21"/>
  <c r="B20" i="21"/>
  <c r="C20" i="21"/>
  <c r="D20" i="21"/>
  <c r="G20" i="21"/>
  <c r="H20" i="21"/>
  <c r="I20" i="21"/>
  <c r="B19" i="21"/>
  <c r="C19" i="21"/>
  <c r="D19" i="21"/>
  <c r="N19" i="21" s="1"/>
  <c r="G19" i="21"/>
  <c r="H19" i="21"/>
  <c r="I19" i="21"/>
  <c r="B17" i="21"/>
  <c r="C17" i="21"/>
  <c r="D17" i="21"/>
  <c r="G17" i="21"/>
  <c r="H17" i="21"/>
  <c r="M17" i="21" s="1"/>
  <c r="I17" i="21"/>
  <c r="B16" i="21"/>
  <c r="C16" i="21"/>
  <c r="D16" i="21"/>
  <c r="N16" i="21" s="1"/>
  <c r="G16" i="21"/>
  <c r="H16" i="21"/>
  <c r="I16" i="21"/>
  <c r="B15" i="21"/>
  <c r="C15" i="21"/>
  <c r="D15" i="21"/>
  <c r="G15" i="21"/>
  <c r="H15" i="21"/>
  <c r="M15" i="21" s="1"/>
  <c r="I15" i="21"/>
  <c r="B14" i="21"/>
  <c r="C14" i="21"/>
  <c r="D14" i="21"/>
  <c r="G14" i="21"/>
  <c r="H14" i="21"/>
  <c r="I14" i="21"/>
  <c r="B13" i="21"/>
  <c r="C13" i="21"/>
  <c r="D13" i="21"/>
  <c r="G13" i="21"/>
  <c r="H13" i="21"/>
  <c r="I13" i="21"/>
  <c r="B12" i="21"/>
  <c r="C12" i="21"/>
  <c r="D12" i="21"/>
  <c r="G12" i="21"/>
  <c r="H12" i="21"/>
  <c r="I12" i="21"/>
  <c r="B10" i="21"/>
  <c r="C10" i="21"/>
  <c r="D10" i="21"/>
  <c r="G10" i="21"/>
  <c r="H10" i="21"/>
  <c r="I10" i="21"/>
  <c r="B9" i="21"/>
  <c r="C9" i="21"/>
  <c r="D9" i="21"/>
  <c r="N9" i="21" s="1"/>
  <c r="G9" i="21"/>
  <c r="H9" i="21"/>
  <c r="I9" i="21"/>
  <c r="B8" i="21"/>
  <c r="L8" i="21" s="1"/>
  <c r="C8" i="21"/>
  <c r="D8" i="21"/>
  <c r="G8" i="21"/>
  <c r="H8" i="21"/>
  <c r="I8" i="21"/>
  <c r="B7" i="21"/>
  <c r="C7" i="21"/>
  <c r="D7" i="21"/>
  <c r="N7" i="21" s="1"/>
  <c r="G7" i="21"/>
  <c r="H7" i="21"/>
  <c r="I7" i="21"/>
  <c r="B6" i="21"/>
  <c r="C6" i="21"/>
  <c r="D6" i="21"/>
  <c r="G6" i="21"/>
  <c r="H6" i="21"/>
  <c r="I6" i="21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D22" i="20"/>
  <c r="N8" i="19"/>
  <c r="N9" i="19"/>
  <c r="N10" i="19"/>
  <c r="N11" i="19"/>
  <c r="N12" i="19"/>
  <c r="N13" i="19"/>
  <c r="N14" i="19"/>
  <c r="N7" i="19"/>
  <c r="I15" i="19"/>
  <c r="D15" i="19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I30" i="18"/>
  <c r="N30" i="18" s="1"/>
  <c r="D30" i="18"/>
  <c r="N37" i="22"/>
  <c r="N36" i="22"/>
  <c r="N34" i="22"/>
  <c r="N33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I38" i="22"/>
  <c r="J29" i="17" s="1"/>
  <c r="B38" i="14"/>
  <c r="C38" i="14"/>
  <c r="D38" i="14"/>
  <c r="D38" i="15" s="1"/>
  <c r="G38" i="14"/>
  <c r="H38" i="14"/>
  <c r="M38" i="14" s="1"/>
  <c r="I38" i="14"/>
  <c r="B37" i="14"/>
  <c r="C37" i="14"/>
  <c r="C37" i="15" s="1"/>
  <c r="D37" i="14"/>
  <c r="G37" i="14"/>
  <c r="H37" i="14"/>
  <c r="I37" i="14"/>
  <c r="B36" i="14"/>
  <c r="C36" i="14"/>
  <c r="D36" i="14"/>
  <c r="G36" i="14"/>
  <c r="H36" i="14"/>
  <c r="I36" i="14"/>
  <c r="D35" i="14"/>
  <c r="I35" i="14"/>
  <c r="B34" i="14"/>
  <c r="C34" i="14"/>
  <c r="D34" i="14"/>
  <c r="G34" i="14"/>
  <c r="H34" i="14"/>
  <c r="I34" i="14"/>
  <c r="B33" i="14"/>
  <c r="C33" i="14"/>
  <c r="D33" i="14"/>
  <c r="G33" i="14"/>
  <c r="H33" i="14"/>
  <c r="I33" i="14"/>
  <c r="B32" i="14"/>
  <c r="C32" i="14"/>
  <c r="D32" i="14"/>
  <c r="G32" i="14"/>
  <c r="H32" i="14"/>
  <c r="I32" i="14"/>
  <c r="B31" i="14"/>
  <c r="C31" i="14"/>
  <c r="D31" i="14"/>
  <c r="G31" i="14"/>
  <c r="H31" i="14"/>
  <c r="I31" i="14"/>
  <c r="B30" i="14"/>
  <c r="C30" i="14"/>
  <c r="D30" i="14"/>
  <c r="G30" i="14"/>
  <c r="H30" i="14"/>
  <c r="I30" i="14"/>
  <c r="B29" i="14"/>
  <c r="C29" i="14"/>
  <c r="D29" i="14"/>
  <c r="G29" i="14"/>
  <c r="H29" i="14"/>
  <c r="I29" i="14"/>
  <c r="B28" i="14"/>
  <c r="C28" i="14"/>
  <c r="D28" i="14"/>
  <c r="G28" i="14"/>
  <c r="H28" i="14"/>
  <c r="I28" i="14"/>
  <c r="B27" i="14"/>
  <c r="C27" i="14"/>
  <c r="D27" i="14"/>
  <c r="G27" i="14"/>
  <c r="H27" i="14"/>
  <c r="I27" i="14"/>
  <c r="B26" i="14"/>
  <c r="C26" i="14"/>
  <c r="D26" i="14"/>
  <c r="G26" i="14"/>
  <c r="H26" i="14"/>
  <c r="I26" i="14"/>
  <c r="B25" i="14"/>
  <c r="C25" i="14"/>
  <c r="D25" i="14"/>
  <c r="G25" i="14"/>
  <c r="H25" i="14"/>
  <c r="I25" i="14"/>
  <c r="B24" i="14"/>
  <c r="C24" i="14"/>
  <c r="D24" i="14"/>
  <c r="G24" i="14"/>
  <c r="H24" i="14"/>
  <c r="I24" i="14"/>
  <c r="B23" i="14"/>
  <c r="C23" i="14"/>
  <c r="D23" i="14"/>
  <c r="G23" i="14"/>
  <c r="H23" i="14"/>
  <c r="I23" i="14"/>
  <c r="B22" i="14"/>
  <c r="C22" i="14"/>
  <c r="D22" i="14"/>
  <c r="G22" i="14"/>
  <c r="H22" i="14"/>
  <c r="I22" i="14"/>
  <c r="B21" i="14"/>
  <c r="D21" i="14"/>
  <c r="I21" i="14"/>
  <c r="B19" i="14"/>
  <c r="C19" i="14"/>
  <c r="D19" i="14"/>
  <c r="G19" i="14"/>
  <c r="H19" i="14"/>
  <c r="I19" i="14"/>
  <c r="D18" i="14"/>
  <c r="I18" i="14"/>
  <c r="B17" i="14"/>
  <c r="C17" i="14"/>
  <c r="D17" i="14"/>
  <c r="G17" i="14"/>
  <c r="H17" i="14"/>
  <c r="I17" i="14"/>
  <c r="B16" i="14"/>
  <c r="C16" i="14"/>
  <c r="C16" i="15" s="1"/>
  <c r="D16" i="14"/>
  <c r="G16" i="14"/>
  <c r="H16" i="14"/>
  <c r="I16" i="14"/>
  <c r="B13" i="14"/>
  <c r="C13" i="14"/>
  <c r="D13" i="14"/>
  <c r="G13" i="14"/>
  <c r="H13" i="14"/>
  <c r="I13" i="14"/>
  <c r="B12" i="14"/>
  <c r="C12" i="14"/>
  <c r="D12" i="14"/>
  <c r="G12" i="14"/>
  <c r="H12" i="14"/>
  <c r="I12" i="14"/>
  <c r="B11" i="14"/>
  <c r="C11" i="14"/>
  <c r="M11" i="14" s="1"/>
  <c r="D11" i="14"/>
  <c r="G11" i="14"/>
  <c r="D10" i="14"/>
  <c r="B9" i="14"/>
  <c r="C9" i="14"/>
  <c r="M9" i="14" s="1"/>
  <c r="D9" i="14"/>
  <c r="B8" i="14"/>
  <c r="C8" i="14"/>
  <c r="D8" i="14"/>
  <c r="G8" i="14"/>
  <c r="H8" i="14"/>
  <c r="I8" i="14"/>
  <c r="B7" i="14"/>
  <c r="C7" i="14"/>
  <c r="D7" i="14"/>
  <c r="D7" i="15" s="1"/>
  <c r="G7" i="14"/>
  <c r="H7" i="14"/>
  <c r="I7" i="14"/>
  <c r="I38" i="13"/>
  <c r="I39" i="15" s="1"/>
  <c r="G37" i="13"/>
  <c r="H37" i="13"/>
  <c r="I37" i="13"/>
  <c r="G36" i="13"/>
  <c r="H36" i="13"/>
  <c r="I36" i="13"/>
  <c r="G35" i="13"/>
  <c r="H35" i="13"/>
  <c r="I35" i="13"/>
  <c r="G33" i="13"/>
  <c r="H33" i="13"/>
  <c r="I33" i="13"/>
  <c r="G32" i="13"/>
  <c r="I32" i="13"/>
  <c r="H30" i="13"/>
  <c r="I30" i="13"/>
  <c r="G29" i="13"/>
  <c r="H29" i="13"/>
  <c r="I29" i="13"/>
  <c r="G28" i="13"/>
  <c r="H28" i="13"/>
  <c r="I28" i="13"/>
  <c r="G27" i="13"/>
  <c r="H27" i="13"/>
  <c r="I27" i="13"/>
  <c r="I26" i="13"/>
  <c r="G25" i="13"/>
  <c r="H25" i="13"/>
  <c r="I25" i="13"/>
  <c r="G24" i="13"/>
  <c r="H24" i="13"/>
  <c r="I24" i="13"/>
  <c r="I24" i="15" s="1"/>
  <c r="G23" i="13"/>
  <c r="H23" i="13"/>
  <c r="I23" i="13"/>
  <c r="G22" i="13"/>
  <c r="H22" i="13"/>
  <c r="I22" i="13"/>
  <c r="G21" i="13"/>
  <c r="H21" i="13"/>
  <c r="I21" i="13"/>
  <c r="G20" i="13"/>
  <c r="H20" i="13"/>
  <c r="G19" i="13"/>
  <c r="H19" i="13"/>
  <c r="I19" i="13"/>
  <c r="G18" i="13"/>
  <c r="H18" i="13"/>
  <c r="I18" i="13"/>
  <c r="G17" i="13"/>
  <c r="H17" i="13"/>
  <c r="I17" i="13"/>
  <c r="G16" i="13"/>
  <c r="H16" i="13"/>
  <c r="I16" i="13"/>
  <c r="G15" i="13"/>
  <c r="H15" i="13"/>
  <c r="I15" i="13"/>
  <c r="G14" i="13"/>
  <c r="H14" i="13"/>
  <c r="I14" i="13"/>
  <c r="H13" i="13"/>
  <c r="I13" i="13"/>
  <c r="G12" i="13"/>
  <c r="H12" i="13"/>
  <c r="I12" i="13"/>
  <c r="G11" i="13"/>
  <c r="H11" i="13"/>
  <c r="I11" i="13"/>
  <c r="I11" i="15" s="1"/>
  <c r="G9" i="13"/>
  <c r="H9" i="13"/>
  <c r="I9" i="13"/>
  <c r="I9" i="15" s="1"/>
  <c r="G8" i="13"/>
  <c r="H8" i="13"/>
  <c r="I8" i="13"/>
  <c r="H7" i="13"/>
  <c r="I7" i="13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12" i="12"/>
  <c r="N11" i="12"/>
  <c r="N10" i="12"/>
  <c r="N8" i="12"/>
  <c r="N7" i="12"/>
  <c r="I30" i="12"/>
  <c r="J19" i="17" s="1"/>
  <c r="D30" i="12"/>
  <c r="E19" i="17" s="1"/>
  <c r="M50" i="11"/>
  <c r="N50" i="11"/>
  <c r="O50" i="11"/>
  <c r="O49" i="11"/>
  <c r="O48" i="11"/>
  <c r="O46" i="11"/>
  <c r="O45" i="11"/>
  <c r="O43" i="11"/>
  <c r="O42" i="11"/>
  <c r="O41" i="11"/>
  <c r="O40" i="11"/>
  <c r="O38" i="11"/>
  <c r="O37" i="11"/>
  <c r="O35" i="11"/>
  <c r="O34" i="11"/>
  <c r="O31" i="11"/>
  <c r="O29" i="11"/>
  <c r="O28" i="11"/>
  <c r="O26" i="11"/>
  <c r="O25" i="11"/>
  <c r="O23" i="11"/>
  <c r="O22" i="11"/>
  <c r="O14" i="11"/>
  <c r="O13" i="11"/>
  <c r="O11" i="11"/>
  <c r="O10" i="11"/>
  <c r="O9" i="11"/>
  <c r="O7" i="11"/>
  <c r="O6" i="11"/>
  <c r="J17" i="17"/>
  <c r="J52" i="11"/>
  <c r="J51" i="11"/>
  <c r="J47" i="11"/>
  <c r="J44" i="11"/>
  <c r="J39" i="11"/>
  <c r="J36" i="11"/>
  <c r="J33" i="11"/>
  <c r="J30" i="11"/>
  <c r="O30" i="11" s="1"/>
  <c r="J27" i="11"/>
  <c r="J24" i="11"/>
  <c r="J15" i="11"/>
  <c r="J12" i="11"/>
  <c r="J8" i="11"/>
  <c r="E51" i="11"/>
  <c r="E47" i="11"/>
  <c r="E44" i="11"/>
  <c r="E39" i="11"/>
  <c r="E36" i="11"/>
  <c r="E33" i="11"/>
  <c r="E30" i="11"/>
  <c r="E27" i="11"/>
  <c r="E24" i="11"/>
  <c r="E15" i="11"/>
  <c r="E12" i="11"/>
  <c r="E8" i="11"/>
  <c r="O8" i="11" s="1"/>
  <c r="N18" i="10"/>
  <c r="N17" i="10"/>
  <c r="N16" i="10"/>
  <c r="N15" i="10"/>
  <c r="N14" i="10"/>
  <c r="N13" i="10"/>
  <c r="N12" i="10"/>
  <c r="N11" i="10"/>
  <c r="N10" i="10"/>
  <c r="N9" i="10"/>
  <c r="N8" i="10"/>
  <c r="N7" i="10"/>
  <c r="I19" i="10"/>
  <c r="D19" i="10"/>
  <c r="N29" i="8"/>
  <c r="N28" i="8"/>
  <c r="N27" i="8"/>
  <c r="N26" i="8"/>
  <c r="N24" i="8"/>
  <c r="N23" i="8"/>
  <c r="N22" i="8"/>
  <c r="N21" i="8"/>
  <c r="N20" i="8"/>
  <c r="N18" i="8"/>
  <c r="N17" i="8"/>
  <c r="N16" i="8"/>
  <c r="N15" i="8"/>
  <c r="N14" i="8"/>
  <c r="N13" i="8"/>
  <c r="N12" i="8"/>
  <c r="N11" i="8"/>
  <c r="N10" i="8"/>
  <c r="N9" i="8"/>
  <c r="N8" i="8"/>
  <c r="N7" i="8"/>
  <c r="I31" i="8"/>
  <c r="D31" i="8"/>
  <c r="E14" i="17" s="1"/>
  <c r="E24" i="17" s="1"/>
  <c r="N37" i="7"/>
  <c r="N36" i="7"/>
  <c r="N35" i="7"/>
  <c r="N34" i="7"/>
  <c r="N33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I38" i="7"/>
  <c r="D38" i="7"/>
  <c r="N36" i="6"/>
  <c r="N35" i="6"/>
  <c r="N34" i="6"/>
  <c r="N33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I37" i="6"/>
  <c r="D37" i="6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I22" i="5"/>
  <c r="D22" i="5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5" i="4"/>
  <c r="N7" i="4"/>
  <c r="I26" i="4"/>
  <c r="J10" i="17" s="1"/>
  <c r="J23" i="17" s="1"/>
  <c r="D26" i="4"/>
  <c r="O43" i="2"/>
  <c r="O45" i="2"/>
  <c r="O46" i="2"/>
  <c r="O47" i="2"/>
  <c r="O49" i="2"/>
  <c r="O50" i="2"/>
  <c r="O52" i="2"/>
  <c r="O53" i="2"/>
  <c r="O55" i="2"/>
  <c r="O56" i="2"/>
  <c r="O58" i="2"/>
  <c r="O59" i="2"/>
  <c r="O60" i="2"/>
  <c r="O61" i="2"/>
  <c r="O63" i="2"/>
  <c r="O64" i="2"/>
  <c r="O65" i="2"/>
  <c r="O42" i="2"/>
  <c r="O7" i="2"/>
  <c r="O9" i="2"/>
  <c r="O10" i="2"/>
  <c r="O11" i="2"/>
  <c r="O12" i="2"/>
  <c r="O13" i="2"/>
  <c r="O15" i="2"/>
  <c r="O16" i="2"/>
  <c r="O18" i="2"/>
  <c r="O19" i="2"/>
  <c r="O20" i="2"/>
  <c r="O21" i="2"/>
  <c r="O22" i="2"/>
  <c r="O23" i="2"/>
  <c r="O25" i="2"/>
  <c r="O26" i="2"/>
  <c r="O28" i="2"/>
  <c r="O32" i="2"/>
  <c r="O34" i="2"/>
  <c r="O35" i="2"/>
  <c r="O37" i="2"/>
  <c r="O6" i="2"/>
  <c r="J67" i="2"/>
  <c r="J7" i="17" s="1"/>
  <c r="J66" i="2"/>
  <c r="J62" i="2"/>
  <c r="J57" i="2"/>
  <c r="J54" i="2"/>
  <c r="J51" i="2"/>
  <c r="O51" i="2" s="1"/>
  <c r="J48" i="2"/>
  <c r="J44" i="2"/>
  <c r="J36" i="2"/>
  <c r="J33" i="2"/>
  <c r="J27" i="2"/>
  <c r="J24" i="2"/>
  <c r="J17" i="2"/>
  <c r="J14" i="2"/>
  <c r="J8" i="2"/>
  <c r="E48" i="2"/>
  <c r="E27" i="2"/>
  <c r="E66" i="2"/>
  <c r="E62" i="2"/>
  <c r="E57" i="2"/>
  <c r="O57" i="2" s="1"/>
  <c r="E54" i="2"/>
  <c r="E51" i="2"/>
  <c r="E44" i="2"/>
  <c r="E36" i="2"/>
  <c r="E33" i="2"/>
  <c r="E24" i="2"/>
  <c r="E17" i="2"/>
  <c r="E14" i="2"/>
  <c r="E8" i="2"/>
  <c r="C51" i="11"/>
  <c r="M51" i="11" s="1"/>
  <c r="D51" i="11"/>
  <c r="H51" i="11"/>
  <c r="I51" i="11"/>
  <c r="M49" i="11"/>
  <c r="N49" i="11"/>
  <c r="C36" i="2"/>
  <c r="D36" i="2"/>
  <c r="H36" i="2"/>
  <c r="I36" i="2"/>
  <c r="L25" i="4"/>
  <c r="M25" i="4"/>
  <c r="L24" i="12"/>
  <c r="M24" i="12"/>
  <c r="L18" i="21"/>
  <c r="M18" i="21"/>
  <c r="L12" i="20"/>
  <c r="M12" i="20"/>
  <c r="L13" i="20"/>
  <c r="M13" i="20"/>
  <c r="L14" i="20"/>
  <c r="M14" i="20"/>
  <c r="L15" i="20"/>
  <c r="M15" i="20"/>
  <c r="L16" i="20"/>
  <c r="M16" i="20"/>
  <c r="L17" i="20"/>
  <c r="M17" i="20"/>
  <c r="L18" i="20"/>
  <c r="M18" i="20"/>
  <c r="L19" i="20"/>
  <c r="M19" i="20"/>
  <c r="L20" i="20"/>
  <c r="M20" i="20"/>
  <c r="L21" i="20"/>
  <c r="M21" i="20"/>
  <c r="M22" i="20"/>
  <c r="L8" i="20"/>
  <c r="M8" i="20"/>
  <c r="C14" i="2"/>
  <c r="D14" i="2"/>
  <c r="H14" i="2"/>
  <c r="I14" i="2"/>
  <c r="C17" i="2"/>
  <c r="D17" i="2"/>
  <c r="H17" i="2"/>
  <c r="I17" i="2"/>
  <c r="C27" i="2"/>
  <c r="D27" i="2"/>
  <c r="H27" i="2"/>
  <c r="I27" i="2"/>
  <c r="C33" i="2"/>
  <c r="D33" i="2"/>
  <c r="H33" i="2"/>
  <c r="I33" i="2"/>
  <c r="C48" i="2"/>
  <c r="D48" i="2"/>
  <c r="H48" i="2"/>
  <c r="I48" i="2"/>
  <c r="C51" i="2"/>
  <c r="D51" i="2"/>
  <c r="H51" i="2"/>
  <c r="I51" i="2"/>
  <c r="C54" i="2"/>
  <c r="D54" i="2"/>
  <c r="H54" i="2"/>
  <c r="I54" i="2"/>
  <c r="C57" i="2"/>
  <c r="H57" i="2"/>
  <c r="C8" i="2"/>
  <c r="D8" i="2"/>
  <c r="H8" i="2"/>
  <c r="I8" i="2"/>
  <c r="B28" i="20"/>
  <c r="C28" i="20"/>
  <c r="C29" i="20" s="1"/>
  <c r="G28" i="20"/>
  <c r="H28" i="20"/>
  <c r="B30" i="12"/>
  <c r="C30" i="12"/>
  <c r="G30" i="12"/>
  <c r="L30" i="12" s="1"/>
  <c r="H30" i="12"/>
  <c r="I19" i="17" s="1"/>
  <c r="C47" i="11"/>
  <c r="D47" i="11"/>
  <c r="H47" i="11"/>
  <c r="I47" i="11"/>
  <c r="C44" i="11"/>
  <c r="D44" i="11"/>
  <c r="H44" i="11"/>
  <c r="I44" i="11"/>
  <c r="I39" i="11"/>
  <c r="C39" i="11"/>
  <c r="D39" i="11"/>
  <c r="H39" i="11"/>
  <c r="C36" i="11"/>
  <c r="D36" i="11"/>
  <c r="H36" i="11"/>
  <c r="I36" i="11"/>
  <c r="C33" i="11"/>
  <c r="C30" i="11"/>
  <c r="D30" i="11"/>
  <c r="H30" i="11"/>
  <c r="I30" i="11"/>
  <c r="C24" i="11"/>
  <c r="D24" i="11"/>
  <c r="H24" i="11"/>
  <c r="I24" i="11"/>
  <c r="C15" i="11"/>
  <c r="D15" i="11"/>
  <c r="H15" i="11"/>
  <c r="I15" i="11"/>
  <c r="N15" i="11" s="1"/>
  <c r="C8" i="11"/>
  <c r="D8" i="11"/>
  <c r="H8" i="11"/>
  <c r="I8" i="11"/>
  <c r="H19" i="10"/>
  <c r="I15" i="17" s="1"/>
  <c r="B19" i="10"/>
  <c r="C19" i="10"/>
  <c r="G19" i="10"/>
  <c r="B31" i="8"/>
  <c r="C31" i="8"/>
  <c r="D14" i="17" s="1"/>
  <c r="D24" i="17" s="1"/>
  <c r="G31" i="8"/>
  <c r="H31" i="8"/>
  <c r="B38" i="7"/>
  <c r="C38" i="7"/>
  <c r="D13" i="17" s="1"/>
  <c r="G38" i="7"/>
  <c r="H38" i="7"/>
  <c r="I13" i="17" s="1"/>
  <c r="C37" i="6"/>
  <c r="D12" i="17" s="1"/>
  <c r="H37" i="6"/>
  <c r="I12" i="17" s="1"/>
  <c r="C22" i="5"/>
  <c r="G22" i="5"/>
  <c r="H22" i="5"/>
  <c r="C26" i="4"/>
  <c r="D10" i="17" s="1"/>
  <c r="D23" i="17" s="1"/>
  <c r="H26" i="4"/>
  <c r="L26" i="12"/>
  <c r="M14" i="11"/>
  <c r="L26" i="8"/>
  <c r="L16" i="8"/>
  <c r="L8" i="8"/>
  <c r="M7" i="8"/>
  <c r="L36" i="7"/>
  <c r="L8" i="4"/>
  <c r="M35" i="2"/>
  <c r="N7" i="11"/>
  <c r="N9" i="11"/>
  <c r="N13" i="11"/>
  <c r="N14" i="11"/>
  <c r="N22" i="11"/>
  <c r="N23" i="11"/>
  <c r="N25" i="11"/>
  <c r="N28" i="11"/>
  <c r="N29" i="11"/>
  <c r="N31" i="11"/>
  <c r="N34" i="11"/>
  <c r="N35" i="11"/>
  <c r="N37" i="11"/>
  <c r="N38" i="11"/>
  <c r="N40" i="11"/>
  <c r="N41" i="11"/>
  <c r="N42" i="11"/>
  <c r="N43" i="11"/>
  <c r="N45" i="11"/>
  <c r="N46" i="11"/>
  <c r="N48" i="11"/>
  <c r="N6" i="11"/>
  <c r="D32" i="11"/>
  <c r="D26" i="11"/>
  <c r="D27" i="11" s="1"/>
  <c r="D11" i="11"/>
  <c r="D10" i="11"/>
  <c r="N10" i="11" s="1"/>
  <c r="I32" i="11"/>
  <c r="I26" i="11"/>
  <c r="N35" i="2"/>
  <c r="N34" i="2"/>
  <c r="I11" i="11"/>
  <c r="H10" i="14" s="1"/>
  <c r="I10" i="11"/>
  <c r="N7" i="2"/>
  <c r="N9" i="2"/>
  <c r="N10" i="2"/>
  <c r="N11" i="2"/>
  <c r="N12" i="2"/>
  <c r="N13" i="2"/>
  <c r="N15" i="2"/>
  <c r="N16" i="2"/>
  <c r="N18" i="2"/>
  <c r="N19" i="2"/>
  <c r="N20" i="2"/>
  <c r="N21" i="2"/>
  <c r="N22" i="2"/>
  <c r="N25" i="2"/>
  <c r="N26" i="2"/>
  <c r="N28" i="2"/>
  <c r="N32" i="2"/>
  <c r="N37" i="2"/>
  <c r="N43" i="2"/>
  <c r="N45" i="2"/>
  <c r="N46" i="2"/>
  <c r="N47" i="2"/>
  <c r="N49" i="2"/>
  <c r="N50" i="2"/>
  <c r="N52" i="2"/>
  <c r="N53" i="2"/>
  <c r="N56" i="2"/>
  <c r="N58" i="2"/>
  <c r="N59" i="2"/>
  <c r="N60" i="2"/>
  <c r="N63" i="2"/>
  <c r="N65" i="2"/>
  <c r="N6" i="2"/>
  <c r="D64" i="2"/>
  <c r="C38" i="13" s="1"/>
  <c r="C39" i="15" s="1"/>
  <c r="D61" i="2"/>
  <c r="D55" i="2"/>
  <c r="D42" i="2"/>
  <c r="C26" i="13" s="1"/>
  <c r="D23" i="2"/>
  <c r="I64" i="2"/>
  <c r="I61" i="2"/>
  <c r="I62" i="2" s="1"/>
  <c r="I55" i="2"/>
  <c r="H32" i="13" s="1"/>
  <c r="N54" i="2"/>
  <c r="I42" i="2"/>
  <c r="I23" i="2"/>
  <c r="M8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5" i="12"/>
  <c r="M26" i="12"/>
  <c r="M27" i="12"/>
  <c r="M28" i="12"/>
  <c r="M29" i="12"/>
  <c r="M7" i="12"/>
  <c r="M10" i="10"/>
  <c r="M11" i="10"/>
  <c r="M12" i="10"/>
  <c r="M13" i="10"/>
  <c r="M14" i="10"/>
  <c r="M15" i="10"/>
  <c r="M16" i="10"/>
  <c r="M17" i="10"/>
  <c r="M18" i="10"/>
  <c r="L8" i="10"/>
  <c r="M8" i="10"/>
  <c r="L9" i="10"/>
  <c r="M9" i="10"/>
  <c r="M7" i="10"/>
  <c r="M36" i="7"/>
  <c r="M26" i="8"/>
  <c r="M16" i="8"/>
  <c r="M8" i="8"/>
  <c r="M8" i="4"/>
  <c r="M28" i="8"/>
  <c r="M29" i="8"/>
  <c r="M27" i="8"/>
  <c r="M18" i="8"/>
  <c r="M20" i="8"/>
  <c r="M21" i="8"/>
  <c r="M22" i="8"/>
  <c r="M23" i="8"/>
  <c r="M24" i="8"/>
  <c r="M17" i="8"/>
  <c r="M10" i="8"/>
  <c r="M11" i="8"/>
  <c r="M12" i="8"/>
  <c r="M13" i="8"/>
  <c r="M14" i="8"/>
  <c r="M15" i="8"/>
  <c r="M9" i="8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3" i="7"/>
  <c r="M34" i="7"/>
  <c r="M35" i="7"/>
  <c r="M37" i="7"/>
  <c r="M7" i="7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3" i="6"/>
  <c r="M34" i="6"/>
  <c r="M35" i="6"/>
  <c r="M36" i="6"/>
  <c r="M7" i="6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7" i="5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7" i="4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3" i="22"/>
  <c r="M34" i="22"/>
  <c r="M36" i="22"/>
  <c r="M37" i="22"/>
  <c r="M38" i="22"/>
  <c r="M6" i="22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7" i="18"/>
  <c r="M8" i="19"/>
  <c r="M9" i="19"/>
  <c r="M10" i="19"/>
  <c r="M11" i="19"/>
  <c r="M12" i="19"/>
  <c r="M13" i="19"/>
  <c r="M14" i="19"/>
  <c r="M15" i="19"/>
  <c r="M7" i="19"/>
  <c r="M9" i="20"/>
  <c r="M10" i="20"/>
  <c r="M11" i="20"/>
  <c r="M7" i="20"/>
  <c r="M11" i="21"/>
  <c r="L8" i="18"/>
  <c r="L9" i="18"/>
  <c r="L10" i="18"/>
  <c r="L11" i="18"/>
  <c r="L12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7" i="18"/>
  <c r="B13" i="18"/>
  <c r="G30" i="18"/>
  <c r="M7" i="11"/>
  <c r="M9" i="11"/>
  <c r="M13" i="11"/>
  <c r="M22" i="11"/>
  <c r="M23" i="11"/>
  <c r="M25" i="11"/>
  <c r="M28" i="11"/>
  <c r="M29" i="11"/>
  <c r="M31" i="11"/>
  <c r="M34" i="11"/>
  <c r="M35" i="11"/>
  <c r="M37" i="11"/>
  <c r="M38" i="11"/>
  <c r="M40" i="11"/>
  <c r="M41" i="11"/>
  <c r="M42" i="11"/>
  <c r="M43" i="11"/>
  <c r="M45" i="11"/>
  <c r="M46" i="11"/>
  <c r="M48" i="11"/>
  <c r="M6" i="11"/>
  <c r="H32" i="11"/>
  <c r="H27" i="11"/>
  <c r="H11" i="11"/>
  <c r="H10" i="11"/>
  <c r="C26" i="11"/>
  <c r="C11" i="11"/>
  <c r="C10" i="11"/>
  <c r="L11" i="21"/>
  <c r="L9" i="20"/>
  <c r="L10" i="20"/>
  <c r="L11" i="20"/>
  <c r="L7" i="20"/>
  <c r="B22" i="20"/>
  <c r="G22" i="20"/>
  <c r="L8" i="19"/>
  <c r="L9" i="19"/>
  <c r="L10" i="19"/>
  <c r="L11" i="19"/>
  <c r="L12" i="19"/>
  <c r="L13" i="19"/>
  <c r="L14" i="19"/>
  <c r="L7" i="19"/>
  <c r="B15" i="19"/>
  <c r="G15" i="19"/>
  <c r="H31" i="17" s="1"/>
  <c r="L7" i="22"/>
  <c r="L8" i="22"/>
  <c r="L9" i="22"/>
  <c r="L10" i="22"/>
  <c r="L12" i="22"/>
  <c r="L13" i="22"/>
  <c r="L14" i="22"/>
  <c r="L15" i="22"/>
  <c r="L16" i="22"/>
  <c r="L17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3" i="22"/>
  <c r="L34" i="22"/>
  <c r="L36" i="22"/>
  <c r="L37" i="22"/>
  <c r="L6" i="22"/>
  <c r="B38" i="22"/>
  <c r="G18" i="22"/>
  <c r="G11" i="22"/>
  <c r="G38" i="22" s="1"/>
  <c r="L8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5" i="12"/>
  <c r="L27" i="12"/>
  <c r="L28" i="12"/>
  <c r="L29" i="12"/>
  <c r="L7" i="12"/>
  <c r="L10" i="10"/>
  <c r="L11" i="10"/>
  <c r="L12" i="10"/>
  <c r="L13" i="10"/>
  <c r="L14" i="10"/>
  <c r="L15" i="10"/>
  <c r="L16" i="10"/>
  <c r="L17" i="10"/>
  <c r="L18" i="10"/>
  <c r="L7" i="10"/>
  <c r="L9" i="8"/>
  <c r="L10" i="8"/>
  <c r="L11" i="8"/>
  <c r="L12" i="8"/>
  <c r="L13" i="8"/>
  <c r="L14" i="8"/>
  <c r="L15" i="8"/>
  <c r="L17" i="8"/>
  <c r="L18" i="8"/>
  <c r="L20" i="8"/>
  <c r="L21" i="8"/>
  <c r="L22" i="8"/>
  <c r="L23" i="8"/>
  <c r="L24" i="8"/>
  <c r="L27" i="8"/>
  <c r="L28" i="8"/>
  <c r="L29" i="8"/>
  <c r="L7" i="8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3" i="7"/>
  <c r="L34" i="7"/>
  <c r="L35" i="7"/>
  <c r="L37" i="7"/>
  <c r="L7" i="7"/>
  <c r="L8" i="6"/>
  <c r="L9" i="6"/>
  <c r="L10" i="6"/>
  <c r="L11" i="6"/>
  <c r="L13" i="6"/>
  <c r="L14" i="6"/>
  <c r="L15" i="6"/>
  <c r="L16" i="6"/>
  <c r="L17" i="6"/>
  <c r="L18" i="6"/>
  <c r="L19" i="6"/>
  <c r="L20" i="6"/>
  <c r="L21" i="6"/>
  <c r="L22" i="6"/>
  <c r="L23" i="6"/>
  <c r="L24" i="6"/>
  <c r="L26" i="6"/>
  <c r="L27" i="6"/>
  <c r="L29" i="6"/>
  <c r="L30" i="6"/>
  <c r="L31" i="6"/>
  <c r="L34" i="6"/>
  <c r="L35" i="6"/>
  <c r="L36" i="6"/>
  <c r="B33" i="6"/>
  <c r="B28" i="6"/>
  <c r="B25" i="6"/>
  <c r="B12" i="6"/>
  <c r="B7" i="6"/>
  <c r="G28" i="6"/>
  <c r="G25" i="6"/>
  <c r="L25" i="6" s="1"/>
  <c r="G12" i="6"/>
  <c r="G7" i="6"/>
  <c r="L8" i="5"/>
  <c r="L9" i="5"/>
  <c r="L10" i="5"/>
  <c r="L11" i="5"/>
  <c r="L12" i="5"/>
  <c r="L13" i="5"/>
  <c r="L14" i="5"/>
  <c r="L15" i="5"/>
  <c r="L16" i="5"/>
  <c r="L18" i="5"/>
  <c r="L19" i="5"/>
  <c r="L20" i="5"/>
  <c r="L21" i="5"/>
  <c r="L7" i="5"/>
  <c r="B17" i="5"/>
  <c r="L9" i="4"/>
  <c r="L10" i="4"/>
  <c r="L11" i="4"/>
  <c r="L12" i="4"/>
  <c r="L13" i="4"/>
  <c r="L14" i="4"/>
  <c r="L15" i="4"/>
  <c r="L16" i="4"/>
  <c r="L17" i="4"/>
  <c r="L18" i="4"/>
  <c r="L19" i="4"/>
  <c r="L21" i="4"/>
  <c r="L22" i="4"/>
  <c r="B20" i="4"/>
  <c r="B7" i="4"/>
  <c r="G20" i="4"/>
  <c r="M43" i="2"/>
  <c r="M45" i="2"/>
  <c r="M46" i="2"/>
  <c r="M47" i="2"/>
  <c r="M49" i="2"/>
  <c r="M50" i="2"/>
  <c r="M52" i="2"/>
  <c r="M53" i="2"/>
  <c r="M55" i="2"/>
  <c r="M56" i="2"/>
  <c r="M58" i="2"/>
  <c r="M59" i="2"/>
  <c r="M60" i="2"/>
  <c r="M63" i="2"/>
  <c r="M65" i="2"/>
  <c r="C64" i="2"/>
  <c r="C61" i="2"/>
  <c r="C42" i="2"/>
  <c r="H64" i="2"/>
  <c r="H61" i="2"/>
  <c r="H42" i="2"/>
  <c r="M7" i="2"/>
  <c r="M9" i="2"/>
  <c r="M10" i="2"/>
  <c r="M11" i="2"/>
  <c r="M12" i="2"/>
  <c r="M13" i="2"/>
  <c r="M15" i="2"/>
  <c r="M16" i="2"/>
  <c r="M18" i="2"/>
  <c r="M19" i="2"/>
  <c r="M20" i="2"/>
  <c r="M21" i="2"/>
  <c r="M22" i="2"/>
  <c r="M25" i="2"/>
  <c r="M26" i="2"/>
  <c r="M28" i="2"/>
  <c r="M32" i="2"/>
  <c r="M34" i="2"/>
  <c r="M37" i="2"/>
  <c r="M6" i="2"/>
  <c r="C23" i="2"/>
  <c r="H23" i="2"/>
  <c r="GW7" i="21"/>
  <c r="GW8" i="21"/>
  <c r="GW9" i="21"/>
  <c r="GW10" i="21"/>
  <c r="GW11" i="21"/>
  <c r="GW12" i="21"/>
  <c r="GW13" i="21"/>
  <c r="GW14" i="21"/>
  <c r="GW15" i="21"/>
  <c r="GW16" i="21"/>
  <c r="GW17" i="21"/>
  <c r="GW20" i="21"/>
  <c r="GW21" i="21"/>
  <c r="GW22" i="21"/>
  <c r="M36" i="11"/>
  <c r="L7" i="4"/>
  <c r="I27" i="11"/>
  <c r="D33" i="11"/>
  <c r="I24" i="2"/>
  <c r="H67" i="2"/>
  <c r="G26" i="4"/>
  <c r="L15" i="14"/>
  <c r="J11" i="17"/>
  <c r="E12" i="17"/>
  <c r="H30" i="17"/>
  <c r="C13" i="17"/>
  <c r="N26" i="4"/>
  <c r="E17" i="17"/>
  <c r="I12" i="11"/>
  <c r="I10" i="17"/>
  <c r="I23" i="17" s="1"/>
  <c r="M26" i="4"/>
  <c r="D67" i="2"/>
  <c r="D7" i="17" s="1"/>
  <c r="I11" i="17"/>
  <c r="H52" i="11"/>
  <c r="H16" i="17" s="1"/>
  <c r="H35" i="14"/>
  <c r="D62" i="2"/>
  <c r="N26" i="11"/>
  <c r="G38" i="13"/>
  <c r="H21" i="14"/>
  <c r="I33" i="11"/>
  <c r="N33" i="11" s="1"/>
  <c r="B7" i="13"/>
  <c r="E10" i="17"/>
  <c r="E23" i="17" s="1"/>
  <c r="N30" i="12"/>
  <c r="E13" i="17"/>
  <c r="O24" i="11"/>
  <c r="C21" i="14"/>
  <c r="O53" i="11"/>
  <c r="J31" i="17"/>
  <c r="J30" i="17"/>
  <c r="E8" i="17"/>
  <c r="E7" i="17"/>
  <c r="J54" i="11"/>
  <c r="J18" i="17" s="1"/>
  <c r="M39" i="11"/>
  <c r="I53" i="11"/>
  <c r="I17" i="17" s="1"/>
  <c r="O36" i="11"/>
  <c r="O44" i="11"/>
  <c r="O27" i="11"/>
  <c r="O39" i="11"/>
  <c r="O66" i="2"/>
  <c r="O36" i="2"/>
  <c r="E30" i="17"/>
  <c r="G7" i="13"/>
  <c r="E11" i="17"/>
  <c r="N37" i="14"/>
  <c r="N13" i="21"/>
  <c r="N10" i="21"/>
  <c r="L9" i="21"/>
  <c r="N12" i="21"/>
  <c r="N22" i="21"/>
  <c r="L21" i="21"/>
  <c r="N17" i="21"/>
  <c r="L19" i="21"/>
  <c r="L37" i="14"/>
  <c r="L14" i="14"/>
  <c r="N14" i="14"/>
  <c r="L11" i="22" l="1"/>
  <c r="N8" i="21"/>
  <c r="L15" i="19"/>
  <c r="N21" i="21"/>
  <c r="I36" i="15"/>
  <c r="N23" i="14"/>
  <c r="J24" i="15"/>
  <c r="N24" i="14"/>
  <c r="N20" i="14"/>
  <c r="I40" i="14"/>
  <c r="J27" i="17" s="1"/>
  <c r="M38" i="7"/>
  <c r="J13" i="17"/>
  <c r="M7" i="14"/>
  <c r="M12" i="14"/>
  <c r="N27" i="14"/>
  <c r="M37" i="6"/>
  <c r="I17" i="15"/>
  <c r="J69" i="2"/>
  <c r="J9" i="17" s="1"/>
  <c r="D44" i="2"/>
  <c r="N38" i="22"/>
  <c r="J16" i="17"/>
  <c r="O21" i="11"/>
  <c r="H29" i="17"/>
  <c r="M29" i="17" s="1"/>
  <c r="B26" i="13"/>
  <c r="B30" i="13"/>
  <c r="B10" i="14"/>
  <c r="L13" i="18"/>
  <c r="B35" i="13"/>
  <c r="C53" i="11"/>
  <c r="O23" i="17"/>
  <c r="G39" i="15"/>
  <c r="B29" i="20"/>
  <c r="M11" i="11"/>
  <c r="L18" i="22"/>
  <c r="G35" i="14"/>
  <c r="C66" i="2"/>
  <c r="B38" i="13"/>
  <c r="G13" i="13"/>
  <c r="G13" i="15" s="1"/>
  <c r="B13" i="13"/>
  <c r="G10" i="13"/>
  <c r="I52" i="11"/>
  <c r="H10" i="13"/>
  <c r="H10" i="15" s="1"/>
  <c r="B23" i="21"/>
  <c r="H44" i="2"/>
  <c r="C52" i="11"/>
  <c r="M52" i="11" s="1"/>
  <c r="B10" i="13"/>
  <c r="G10" i="14"/>
  <c r="M8" i="11"/>
  <c r="M15" i="11"/>
  <c r="M24" i="11"/>
  <c r="N48" i="2"/>
  <c r="N27" i="2"/>
  <c r="I35" i="15"/>
  <c r="N12" i="14"/>
  <c r="M13" i="14"/>
  <c r="N22" i="14"/>
  <c r="L29" i="14"/>
  <c r="N30" i="14"/>
  <c r="L31" i="14"/>
  <c r="N36" i="14"/>
  <c r="N38" i="14"/>
  <c r="N6" i="21"/>
  <c r="L7" i="21"/>
  <c r="L12" i="21"/>
  <c r="L14" i="21"/>
  <c r="N15" i="21"/>
  <c r="L16" i="21"/>
  <c r="N20" i="21"/>
  <c r="O30" i="2"/>
  <c r="H18" i="14"/>
  <c r="H18" i="15" s="1"/>
  <c r="C32" i="13"/>
  <c r="C32" i="15" s="1"/>
  <c r="C10" i="13"/>
  <c r="M54" i="2"/>
  <c r="M48" i="2"/>
  <c r="M27" i="2"/>
  <c r="M17" i="2"/>
  <c r="N14" i="2"/>
  <c r="M36" i="2"/>
  <c r="I23" i="15"/>
  <c r="G36" i="15"/>
  <c r="B38" i="15"/>
  <c r="E40" i="14"/>
  <c r="F27" i="17" s="1"/>
  <c r="M14" i="2"/>
  <c r="B37" i="15"/>
  <c r="L30" i="14"/>
  <c r="G38" i="15"/>
  <c r="L38" i="14"/>
  <c r="L10" i="21"/>
  <c r="L13" i="21"/>
  <c r="L15" i="21"/>
  <c r="L17" i="21"/>
  <c r="L20" i="21"/>
  <c r="J38" i="15"/>
  <c r="O38" i="15" s="1"/>
  <c r="O38" i="14"/>
  <c r="J40" i="14"/>
  <c r="I39" i="13"/>
  <c r="J26" i="17" s="1"/>
  <c r="J20" i="17" s="1"/>
  <c r="M30" i="12"/>
  <c r="L22" i="14"/>
  <c r="L24" i="14"/>
  <c r="L27" i="14"/>
  <c r="L20" i="14"/>
  <c r="M31" i="8"/>
  <c r="M8" i="14"/>
  <c r="M17" i="14"/>
  <c r="M19" i="14"/>
  <c r="L23" i="14"/>
  <c r="N25" i="14"/>
  <c r="L25" i="14"/>
  <c r="N26" i="14"/>
  <c r="N28" i="14"/>
  <c r="L28" i="14"/>
  <c r="L32" i="14"/>
  <c r="N33" i="14"/>
  <c r="L33" i="14"/>
  <c r="N34" i="14"/>
  <c r="L34" i="14"/>
  <c r="J16" i="15"/>
  <c r="J20" i="15"/>
  <c r="J28" i="15"/>
  <c r="B14" i="15"/>
  <c r="G11" i="15"/>
  <c r="G15" i="15"/>
  <c r="B22" i="15"/>
  <c r="H13" i="17"/>
  <c r="N15" i="14"/>
  <c r="O33" i="2"/>
  <c r="P68" i="2"/>
  <c r="M30" i="2"/>
  <c r="O68" i="2"/>
  <c r="C44" i="2"/>
  <c r="N39" i="11"/>
  <c r="E32" i="17"/>
  <c r="D29" i="20"/>
  <c r="N30" i="2"/>
  <c r="O48" i="2"/>
  <c r="O54" i="2"/>
  <c r="M6" i="21"/>
  <c r="M7" i="21"/>
  <c r="M9" i="21"/>
  <c r="M10" i="21"/>
  <c r="M14" i="21"/>
  <c r="M16" i="21"/>
  <c r="M19" i="21"/>
  <c r="M20" i="21"/>
  <c r="M21" i="21"/>
  <c r="M22" i="21"/>
  <c r="M21" i="11"/>
  <c r="E29" i="20"/>
  <c r="G24" i="15"/>
  <c r="M20" i="14"/>
  <c r="M15" i="14"/>
  <c r="M34" i="14"/>
  <c r="M32" i="14"/>
  <c r="D24" i="15"/>
  <c r="D22" i="15"/>
  <c r="N8" i="14"/>
  <c r="N11" i="14"/>
  <c r="L11" i="14"/>
  <c r="N16" i="14"/>
  <c r="N17" i="14"/>
  <c r="L17" i="14"/>
  <c r="N17" i="13"/>
  <c r="D28" i="15"/>
  <c r="D32" i="15"/>
  <c r="N13" i="14"/>
  <c r="L13" i="14"/>
  <c r="M26" i="14"/>
  <c r="L22" i="21"/>
  <c r="M12" i="21"/>
  <c r="C32" i="17"/>
  <c r="N22" i="20"/>
  <c r="C31" i="17"/>
  <c r="M31" i="17" s="1"/>
  <c r="L16" i="14"/>
  <c r="N19" i="14"/>
  <c r="L19" i="14"/>
  <c r="M22" i="14"/>
  <c r="M24" i="14"/>
  <c r="M29" i="14"/>
  <c r="M36" i="14"/>
  <c r="H15" i="17"/>
  <c r="M15" i="17" s="1"/>
  <c r="C15" i="17"/>
  <c r="O31" i="8"/>
  <c r="H19" i="17"/>
  <c r="C19" i="17"/>
  <c r="O33" i="11"/>
  <c r="O47" i="11"/>
  <c r="N21" i="11"/>
  <c r="D23" i="15"/>
  <c r="N23" i="15" s="1"/>
  <c r="E39" i="13"/>
  <c r="F26" i="17" s="1"/>
  <c r="F20" i="17" s="1"/>
  <c r="L17" i="5"/>
  <c r="D26" i="15"/>
  <c r="L12" i="6"/>
  <c r="G30" i="13"/>
  <c r="O37" i="6"/>
  <c r="L7" i="6"/>
  <c r="L33" i="13"/>
  <c r="H10" i="17"/>
  <c r="D39" i="13"/>
  <c r="E26" i="17" s="1"/>
  <c r="E20" i="17" s="1"/>
  <c r="N23" i="2"/>
  <c r="N8" i="2"/>
  <c r="N51" i="2"/>
  <c r="O8" i="2"/>
  <c r="O27" i="2"/>
  <c r="N36" i="13"/>
  <c r="I68" i="2"/>
  <c r="I8" i="17" s="1"/>
  <c r="C18" i="14"/>
  <c r="C18" i="15" s="1"/>
  <c r="D57" i="2"/>
  <c r="N55" i="2"/>
  <c r="N17" i="2"/>
  <c r="H12" i="15"/>
  <c r="N19" i="13"/>
  <c r="N22" i="13"/>
  <c r="N24" i="13"/>
  <c r="N30" i="13"/>
  <c r="N32" i="13"/>
  <c r="L36" i="13"/>
  <c r="D19" i="15"/>
  <c r="I20" i="15"/>
  <c r="P67" i="2"/>
  <c r="H20" i="15"/>
  <c r="I22" i="15"/>
  <c r="O29" i="17"/>
  <c r="H21" i="15"/>
  <c r="I8" i="15"/>
  <c r="L12" i="13"/>
  <c r="L14" i="13"/>
  <c r="M24" i="13"/>
  <c r="M28" i="13"/>
  <c r="J8" i="15"/>
  <c r="J12" i="15"/>
  <c r="O32" i="13"/>
  <c r="O39" i="15"/>
  <c r="N64" i="2"/>
  <c r="D66" i="2"/>
  <c r="I57" i="2"/>
  <c r="M57" i="2"/>
  <c r="O24" i="2"/>
  <c r="L32" i="13"/>
  <c r="B29" i="15"/>
  <c r="B33" i="15"/>
  <c r="D24" i="2"/>
  <c r="N24" i="2" s="1"/>
  <c r="O67" i="2"/>
  <c r="M44" i="2"/>
  <c r="H62" i="2"/>
  <c r="M62" i="2" s="1"/>
  <c r="M8" i="2"/>
  <c r="H66" i="2"/>
  <c r="L38" i="7"/>
  <c r="I7" i="15"/>
  <c r="N7" i="15" s="1"/>
  <c r="I10" i="15"/>
  <c r="I16" i="15"/>
  <c r="M33" i="14"/>
  <c r="B21" i="15"/>
  <c r="B31" i="15"/>
  <c r="D12" i="15"/>
  <c r="N8" i="11"/>
  <c r="I19" i="15"/>
  <c r="O15" i="11"/>
  <c r="M17" i="13"/>
  <c r="L18" i="13"/>
  <c r="M20" i="13"/>
  <c r="N13" i="17"/>
  <c r="P29" i="17"/>
  <c r="B9" i="15"/>
  <c r="B34" i="15"/>
  <c r="G22" i="15"/>
  <c r="G37" i="15"/>
  <c r="D8" i="15"/>
  <c r="D17" i="15"/>
  <c r="D37" i="15"/>
  <c r="N13" i="13"/>
  <c r="C33" i="15"/>
  <c r="H24" i="15"/>
  <c r="L11" i="13"/>
  <c r="L17" i="13"/>
  <c r="B24" i="15"/>
  <c r="B28" i="15"/>
  <c r="G29" i="15"/>
  <c r="G31" i="15"/>
  <c r="C11" i="15"/>
  <c r="I32" i="15"/>
  <c r="N32" i="14"/>
  <c r="O17" i="17"/>
  <c r="O8" i="17"/>
  <c r="N12" i="17"/>
  <c r="I23" i="21"/>
  <c r="J32" i="17"/>
  <c r="D40" i="14"/>
  <c r="E27" i="17" s="1"/>
  <c r="O27" i="17" s="1"/>
  <c r="N19" i="10"/>
  <c r="E15" i="17"/>
  <c r="L19" i="10"/>
  <c r="L31" i="8"/>
  <c r="N31" i="8"/>
  <c r="K14" i="17"/>
  <c r="K24" i="17" s="1"/>
  <c r="C14" i="17"/>
  <c r="O54" i="11"/>
  <c r="E18" i="17"/>
  <c r="O18" i="17" s="1"/>
  <c r="O52" i="11"/>
  <c r="C27" i="11"/>
  <c r="M30" i="11"/>
  <c r="N36" i="11"/>
  <c r="N44" i="11"/>
  <c r="H7" i="15"/>
  <c r="I26" i="15"/>
  <c r="I34" i="15"/>
  <c r="I30" i="15"/>
  <c r="E16" i="17"/>
  <c r="D52" i="11"/>
  <c r="M26" i="11"/>
  <c r="N24" i="11"/>
  <c r="L15" i="13"/>
  <c r="I33" i="15"/>
  <c r="D33" i="15"/>
  <c r="H33" i="11"/>
  <c r="D53" i="11"/>
  <c r="K54" i="11"/>
  <c r="K18" i="17" s="1"/>
  <c r="M16" i="13"/>
  <c r="L24" i="13"/>
  <c r="L28" i="13"/>
  <c r="H17" i="15"/>
  <c r="G14" i="15"/>
  <c r="L31" i="13"/>
  <c r="M12" i="13"/>
  <c r="M14" i="13"/>
  <c r="M29" i="13"/>
  <c r="M31" i="13"/>
  <c r="N35" i="13"/>
  <c r="N9" i="13"/>
  <c r="G35" i="15"/>
  <c r="M11" i="13"/>
  <c r="N16" i="13"/>
  <c r="N11" i="13"/>
  <c r="D11" i="15"/>
  <c r="N11" i="15" s="1"/>
  <c r="M9" i="13"/>
  <c r="M15" i="13"/>
  <c r="N21" i="13"/>
  <c r="M22" i="13"/>
  <c r="M30" i="13"/>
  <c r="M35" i="13"/>
  <c r="N37" i="13"/>
  <c r="G9" i="15"/>
  <c r="B12" i="15"/>
  <c r="C22" i="15"/>
  <c r="C23" i="15"/>
  <c r="C26" i="15"/>
  <c r="C28" i="15"/>
  <c r="H37" i="15"/>
  <c r="L7" i="13"/>
  <c r="H11" i="17"/>
  <c r="I12" i="15"/>
  <c r="G23" i="15"/>
  <c r="L23" i="13"/>
  <c r="M34" i="13"/>
  <c r="L12" i="14"/>
  <c r="G12" i="15"/>
  <c r="C38" i="15"/>
  <c r="H34" i="15"/>
  <c r="B8" i="15"/>
  <c r="G32" i="15"/>
  <c r="B15" i="15"/>
  <c r="M27" i="14"/>
  <c r="I44" i="2"/>
  <c r="N42" i="2"/>
  <c r="H26" i="13"/>
  <c r="H26" i="15" s="1"/>
  <c r="H38" i="13"/>
  <c r="I67" i="2"/>
  <c r="I7" i="17" s="1"/>
  <c r="I66" i="2"/>
  <c r="N61" i="2"/>
  <c r="D68" i="2"/>
  <c r="D8" i="17" s="1"/>
  <c r="C35" i="14"/>
  <c r="C35" i="15" s="1"/>
  <c r="I18" i="15"/>
  <c r="C25" i="15"/>
  <c r="M25" i="13"/>
  <c r="N31" i="13"/>
  <c r="M23" i="14"/>
  <c r="H23" i="15"/>
  <c r="M30" i="14"/>
  <c r="E31" i="17"/>
  <c r="D23" i="21"/>
  <c r="E33" i="17" s="1"/>
  <c r="N15" i="19"/>
  <c r="G19" i="15"/>
  <c r="N33" i="13"/>
  <c r="L9" i="13"/>
  <c r="M37" i="14"/>
  <c r="G17" i="15"/>
  <c r="H33" i="15"/>
  <c r="H32" i="15"/>
  <c r="I14" i="15"/>
  <c r="C62" i="2"/>
  <c r="C68" i="2"/>
  <c r="B35" i="14"/>
  <c r="M10" i="11"/>
  <c r="H12" i="11"/>
  <c r="M8" i="13"/>
  <c r="M19" i="13"/>
  <c r="B19" i="15"/>
  <c r="L19" i="13"/>
  <c r="B16" i="15"/>
  <c r="M25" i="14"/>
  <c r="H25" i="15"/>
  <c r="M28" i="14"/>
  <c r="H28" i="15"/>
  <c r="H38" i="15"/>
  <c r="N14" i="13"/>
  <c r="N18" i="13"/>
  <c r="H30" i="15"/>
  <c r="C12" i="11"/>
  <c r="C10" i="14"/>
  <c r="C10" i="15" s="1"/>
  <c r="N11" i="11"/>
  <c r="O22" i="5"/>
  <c r="F11" i="17"/>
  <c r="P11" i="17" s="1"/>
  <c r="I32" i="17"/>
  <c r="N32" i="17" s="1"/>
  <c r="H29" i="20"/>
  <c r="H23" i="21"/>
  <c r="I33" i="17" s="1"/>
  <c r="N33" i="17" s="1"/>
  <c r="D12" i="11"/>
  <c r="N12" i="11" s="1"/>
  <c r="C29" i="17"/>
  <c r="L38" i="22"/>
  <c r="H32" i="17"/>
  <c r="G29" i="20"/>
  <c r="G23" i="21"/>
  <c r="L22" i="20"/>
  <c r="D15" i="17"/>
  <c r="N15" i="17" s="1"/>
  <c r="M19" i="10"/>
  <c r="D19" i="17"/>
  <c r="J12" i="17"/>
  <c r="O12" i="17" s="1"/>
  <c r="N37" i="6"/>
  <c r="M23" i="2"/>
  <c r="N62" i="2"/>
  <c r="B26" i="4"/>
  <c r="L26" i="4" s="1"/>
  <c r="N32" i="11"/>
  <c r="D11" i="17"/>
  <c r="N11" i="17" s="1"/>
  <c r="M22" i="5"/>
  <c r="K69" i="2"/>
  <c r="K9" i="17" s="1"/>
  <c r="P9" i="17" s="1"/>
  <c r="K8" i="17"/>
  <c r="P8" i="17" s="1"/>
  <c r="J39" i="13"/>
  <c r="K26" i="17" s="1"/>
  <c r="O26" i="4"/>
  <c r="K13" i="17"/>
  <c r="P13" i="17" s="1"/>
  <c r="F14" i="17"/>
  <c r="N51" i="11"/>
  <c r="J14" i="17"/>
  <c r="M21" i="13"/>
  <c r="C24" i="15"/>
  <c r="H29" i="15"/>
  <c r="P12" i="17"/>
  <c r="F54" i="11"/>
  <c r="F18" i="17" s="1"/>
  <c r="O15" i="19"/>
  <c r="I14" i="17"/>
  <c r="N14" i="17" s="1"/>
  <c r="N47" i="11"/>
  <c r="N22" i="5"/>
  <c r="B11" i="15"/>
  <c r="B17" i="15"/>
  <c r="C27" i="15"/>
  <c r="C30" i="15"/>
  <c r="H36" i="15"/>
  <c r="D9" i="15"/>
  <c r="N9" i="15" s="1"/>
  <c r="N10" i="14"/>
  <c r="D13" i="15"/>
  <c r="N18" i="14"/>
  <c r="N21" i="14"/>
  <c r="J32" i="15"/>
  <c r="I29" i="20"/>
  <c r="N67" i="2"/>
  <c r="G21" i="14"/>
  <c r="M32" i="11"/>
  <c r="H14" i="17"/>
  <c r="N35" i="14"/>
  <c r="N7" i="17"/>
  <c r="M33" i="13"/>
  <c r="D14" i="15"/>
  <c r="P17" i="17"/>
  <c r="E10" i="15"/>
  <c r="E14" i="15"/>
  <c r="E18" i="15"/>
  <c r="E22" i="15"/>
  <c r="E26" i="15"/>
  <c r="E30" i="15"/>
  <c r="E34" i="15"/>
  <c r="E23" i="21"/>
  <c r="F33" i="17" s="1"/>
  <c r="O19" i="10"/>
  <c r="P16" i="17"/>
  <c r="K10" i="17"/>
  <c r="K23" i="17" s="1"/>
  <c r="F23" i="17"/>
  <c r="N53" i="11"/>
  <c r="C67" i="2"/>
  <c r="B22" i="5"/>
  <c r="M61" i="2"/>
  <c r="B37" i="6"/>
  <c r="O14" i="2"/>
  <c r="L38" i="13"/>
  <c r="C17" i="17"/>
  <c r="B40" i="14"/>
  <c r="G26" i="13"/>
  <c r="C40" i="14"/>
  <c r="D27" i="17" s="1"/>
  <c r="H7" i="17"/>
  <c r="H53" i="11"/>
  <c r="M21" i="14"/>
  <c r="G37" i="6"/>
  <c r="M64" i="2"/>
  <c r="B30" i="18"/>
  <c r="L33" i="6"/>
  <c r="L28" i="6"/>
  <c r="M47" i="11"/>
  <c r="N33" i="2"/>
  <c r="N36" i="2"/>
  <c r="O44" i="2"/>
  <c r="B25" i="15"/>
  <c r="J15" i="17"/>
  <c r="O51" i="11"/>
  <c r="N38" i="7"/>
  <c r="O12" i="11"/>
  <c r="I15" i="15"/>
  <c r="B23" i="15"/>
  <c r="N26" i="13"/>
  <c r="H27" i="15"/>
  <c r="N34" i="13"/>
  <c r="C34" i="15"/>
  <c r="N29" i="14"/>
  <c r="D30" i="15"/>
  <c r="D31" i="15"/>
  <c r="D15" i="15"/>
  <c r="E7" i="15"/>
  <c r="E11" i="15"/>
  <c r="E15" i="15"/>
  <c r="E19" i="15"/>
  <c r="E23" i="15"/>
  <c r="E27" i="15"/>
  <c r="E31" i="15"/>
  <c r="E35" i="15"/>
  <c r="J10" i="15"/>
  <c r="J14" i="15"/>
  <c r="J18" i="15"/>
  <c r="J22" i="15"/>
  <c r="J26" i="15"/>
  <c r="J30" i="15"/>
  <c r="J34" i="15"/>
  <c r="M13" i="13"/>
  <c r="C36" i="15"/>
  <c r="N29" i="17"/>
  <c r="P10" i="17"/>
  <c r="E8" i="15"/>
  <c r="E12" i="15"/>
  <c r="E16" i="15"/>
  <c r="E20" i="15"/>
  <c r="O20" i="15" s="1"/>
  <c r="E24" i="15"/>
  <c r="O24" i="15" s="1"/>
  <c r="E28" i="15"/>
  <c r="E32" i="15"/>
  <c r="E36" i="15"/>
  <c r="O36" i="15" s="1"/>
  <c r="N30" i="11"/>
  <c r="M44" i="11"/>
  <c r="M51" i="2"/>
  <c r="M33" i="2"/>
  <c r="O17" i="2"/>
  <c r="O62" i="2"/>
  <c r="N31" i="17"/>
  <c r="O10" i="17"/>
  <c r="E25" i="17"/>
  <c r="N10" i="17"/>
  <c r="N23" i="17"/>
  <c r="O11" i="17"/>
  <c r="D17" i="17"/>
  <c r="N17" i="17" s="1"/>
  <c r="H68" i="2"/>
  <c r="B18" i="14"/>
  <c r="C24" i="2"/>
  <c r="C7" i="17"/>
  <c r="M66" i="2"/>
  <c r="G18" i="14"/>
  <c r="M42" i="2"/>
  <c r="H24" i="2"/>
  <c r="L20" i="4"/>
  <c r="O7" i="13"/>
  <c r="O9" i="13"/>
  <c r="O11" i="13"/>
  <c r="O13" i="13"/>
  <c r="O15" i="13"/>
  <c r="O17" i="13"/>
  <c r="O19" i="13"/>
  <c r="O21" i="13"/>
  <c r="O23" i="13"/>
  <c r="O25" i="13"/>
  <c r="O27" i="13"/>
  <c r="O29" i="13"/>
  <c r="O31" i="13"/>
  <c r="O33" i="13"/>
  <c r="O35" i="13"/>
  <c r="O37" i="13"/>
  <c r="O8" i="14"/>
  <c r="O10" i="14"/>
  <c r="O12" i="14"/>
  <c r="O14" i="14"/>
  <c r="O16" i="14"/>
  <c r="O18" i="14"/>
  <c r="O20" i="14"/>
  <c r="O22" i="14"/>
  <c r="O24" i="14"/>
  <c r="O26" i="14"/>
  <c r="O28" i="14"/>
  <c r="O30" i="14"/>
  <c r="O34" i="14"/>
  <c r="O7" i="21"/>
  <c r="O9" i="21"/>
  <c r="O12" i="21"/>
  <c r="O14" i="21"/>
  <c r="O16" i="21"/>
  <c r="O19" i="21"/>
  <c r="O21" i="21"/>
  <c r="M13" i="17"/>
  <c r="N14" i="21"/>
  <c r="O7" i="14"/>
  <c r="O9" i="14"/>
  <c r="O11" i="14"/>
  <c r="O13" i="14"/>
  <c r="O15" i="14"/>
  <c r="O17" i="14"/>
  <c r="O19" i="14"/>
  <c r="O21" i="14"/>
  <c r="O23" i="14"/>
  <c r="O25" i="14"/>
  <c r="O27" i="14"/>
  <c r="O29" i="14"/>
  <c r="O31" i="14"/>
  <c r="O33" i="14"/>
  <c r="O37" i="14"/>
  <c r="O6" i="21"/>
  <c r="O8" i="21"/>
  <c r="O10" i="21"/>
  <c r="O13" i="21"/>
  <c r="O15" i="21"/>
  <c r="O17" i="21"/>
  <c r="O20" i="21"/>
  <c r="O22" i="21"/>
  <c r="N57" i="2"/>
  <c r="N27" i="11"/>
  <c r="K25" i="17"/>
  <c r="M37" i="15"/>
  <c r="N52" i="11"/>
  <c r="I54" i="11"/>
  <c r="I16" i="17"/>
  <c r="H39" i="13"/>
  <c r="O13" i="17"/>
  <c r="M37" i="13"/>
  <c r="M8" i="21"/>
  <c r="N30" i="17"/>
  <c r="D29" i="15"/>
  <c r="D16" i="15"/>
  <c r="E69" i="2"/>
  <c r="O8" i="13"/>
  <c r="O10" i="13"/>
  <c r="O12" i="13"/>
  <c r="O14" i="13"/>
  <c r="O16" i="13"/>
  <c r="O18" i="13"/>
  <c r="O20" i="13"/>
  <c r="O22" i="13"/>
  <c r="O24" i="13"/>
  <c r="O26" i="13"/>
  <c r="O28" i="13"/>
  <c r="O30" i="13"/>
  <c r="O34" i="13"/>
  <c r="O36" i="13"/>
  <c r="O38" i="13"/>
  <c r="J7" i="15"/>
  <c r="J9" i="15"/>
  <c r="O9" i="15" s="1"/>
  <c r="J11" i="15"/>
  <c r="J13" i="15"/>
  <c r="O13" i="15" s="1"/>
  <c r="J15" i="15"/>
  <c r="J17" i="15"/>
  <c r="O17" i="15" s="1"/>
  <c r="J19" i="15"/>
  <c r="J21" i="15"/>
  <c r="O21" i="15" s="1"/>
  <c r="J23" i="15"/>
  <c r="J25" i="15"/>
  <c r="O25" i="15" s="1"/>
  <c r="J27" i="15"/>
  <c r="J29" i="15"/>
  <c r="O29" i="15" s="1"/>
  <c r="J31" i="15"/>
  <c r="J33" i="15"/>
  <c r="O33" i="15" s="1"/>
  <c r="J35" i="15"/>
  <c r="J37" i="15"/>
  <c r="O37" i="15" s="1"/>
  <c r="C69" i="2"/>
  <c r="M68" i="2"/>
  <c r="B36" i="15"/>
  <c r="I37" i="15"/>
  <c r="M13" i="21"/>
  <c r="P7" i="17"/>
  <c r="P32" i="17"/>
  <c r="P31" i="17"/>
  <c r="P19" i="17"/>
  <c r="O19" i="17"/>
  <c r="L16" i="13"/>
  <c r="L20" i="13"/>
  <c r="M18" i="13"/>
  <c r="M23" i="13"/>
  <c r="N24" i="15"/>
  <c r="G7" i="15"/>
  <c r="I31" i="15"/>
  <c r="B32" i="15"/>
  <c r="N23" i="13"/>
  <c r="C20" i="15"/>
  <c r="C14" i="15"/>
  <c r="H14" i="15"/>
  <c r="N7" i="13"/>
  <c r="L27" i="13"/>
  <c r="L29" i="13"/>
  <c r="C9" i="15"/>
  <c r="C17" i="15"/>
  <c r="C19" i="15"/>
  <c r="C31" i="15"/>
  <c r="N8" i="13"/>
  <c r="B20" i="15"/>
  <c r="C7" i="15"/>
  <c r="C12" i="15"/>
  <c r="C13" i="15"/>
  <c r="C21" i="15"/>
  <c r="G20" i="15"/>
  <c r="H13" i="15"/>
  <c r="H19" i="15"/>
  <c r="H8" i="15"/>
  <c r="D18" i="15"/>
  <c r="N7" i="14"/>
  <c r="L7" i="14"/>
  <c r="D21" i="15"/>
  <c r="H35" i="15"/>
  <c r="I13" i="15"/>
  <c r="N9" i="14"/>
  <c r="L9" i="14"/>
  <c r="D10" i="15"/>
  <c r="D20" i="15"/>
  <c r="P15" i="17"/>
  <c r="L26" i="14"/>
  <c r="L36" i="14"/>
  <c r="O7" i="17"/>
  <c r="G8" i="15"/>
  <c r="L8" i="13"/>
  <c r="G25" i="15"/>
  <c r="L25" i="13"/>
  <c r="I28" i="15"/>
  <c r="N28" i="13"/>
  <c r="M16" i="14"/>
  <c r="H16" i="15"/>
  <c r="M16" i="15" s="1"/>
  <c r="M31" i="14"/>
  <c r="H31" i="15"/>
  <c r="D27" i="15"/>
  <c r="D25" i="15"/>
  <c r="D25" i="17"/>
  <c r="I21" i="15"/>
  <c r="G16" i="15"/>
  <c r="B7" i="15"/>
  <c r="H22" i="15"/>
  <c r="L8" i="14"/>
  <c r="G34" i="15"/>
  <c r="I25" i="15"/>
  <c r="N31" i="14"/>
  <c r="H15" i="15"/>
  <c r="M14" i="14"/>
  <c r="L22" i="13"/>
  <c r="G28" i="15"/>
  <c r="G33" i="15"/>
  <c r="N10" i="13"/>
  <c r="D35" i="15"/>
  <c r="L6" i="21"/>
  <c r="N15" i="13"/>
  <c r="N20" i="13"/>
  <c r="L37" i="13"/>
  <c r="M27" i="13"/>
  <c r="M36" i="13"/>
  <c r="G27" i="15"/>
  <c r="L34" i="13"/>
  <c r="N38" i="13"/>
  <c r="I29" i="15"/>
  <c r="M23" i="21"/>
  <c r="J33" i="17"/>
  <c r="N27" i="13"/>
  <c r="I38" i="15"/>
  <c r="N38" i="15" s="1"/>
  <c r="N25" i="13"/>
  <c r="O30" i="17"/>
  <c r="M7" i="13"/>
  <c r="C8" i="15"/>
  <c r="H9" i="15"/>
  <c r="H11" i="15"/>
  <c r="N12" i="13"/>
  <c r="C15" i="15"/>
  <c r="L21" i="13"/>
  <c r="I27" i="15"/>
  <c r="B27" i="15"/>
  <c r="N29" i="13"/>
  <c r="C29" i="15"/>
  <c r="D36" i="15"/>
  <c r="N36" i="15" s="1"/>
  <c r="D34" i="15"/>
  <c r="L10" i="14" l="1"/>
  <c r="L38" i="15"/>
  <c r="M18" i="15"/>
  <c r="O16" i="15"/>
  <c r="L35" i="14"/>
  <c r="M10" i="14"/>
  <c r="M18" i="14"/>
  <c r="N17" i="15"/>
  <c r="L13" i="13"/>
  <c r="L37" i="15"/>
  <c r="G30" i="15"/>
  <c r="M35" i="15"/>
  <c r="N28" i="15"/>
  <c r="L35" i="13"/>
  <c r="N26" i="15"/>
  <c r="I69" i="2"/>
  <c r="N12" i="15"/>
  <c r="H40" i="14"/>
  <c r="N8" i="17"/>
  <c r="O32" i="17"/>
  <c r="C39" i="13"/>
  <c r="M39" i="13" s="1"/>
  <c r="I40" i="15"/>
  <c r="J28" i="17" s="1"/>
  <c r="O20" i="17"/>
  <c r="N39" i="13"/>
  <c r="O26" i="17"/>
  <c r="M38" i="13"/>
  <c r="H39" i="15"/>
  <c r="M39" i="15" s="1"/>
  <c r="B39" i="15"/>
  <c r="G39" i="13"/>
  <c r="M67" i="2"/>
  <c r="B39" i="13"/>
  <c r="D54" i="11"/>
  <c r="D18" i="17" s="1"/>
  <c r="N8" i="15"/>
  <c r="O22" i="15"/>
  <c r="M27" i="11"/>
  <c r="C8" i="17"/>
  <c r="M33" i="11"/>
  <c r="C33" i="17"/>
  <c r="D16" i="17"/>
  <c r="N16" i="17" s="1"/>
  <c r="N19" i="15"/>
  <c r="M19" i="17"/>
  <c r="N34" i="15"/>
  <c r="C27" i="17"/>
  <c r="M17" i="15"/>
  <c r="B18" i="15"/>
  <c r="O28" i="15"/>
  <c r="H24" i="17"/>
  <c r="L21" i="14"/>
  <c r="B35" i="15"/>
  <c r="L36" i="15"/>
  <c r="L30" i="13"/>
  <c r="M21" i="15"/>
  <c r="M12" i="15"/>
  <c r="B30" i="15"/>
  <c r="L30" i="15" s="1"/>
  <c r="J40" i="15"/>
  <c r="K28" i="17" s="1"/>
  <c r="L15" i="15"/>
  <c r="L9" i="15"/>
  <c r="L14" i="15"/>
  <c r="L24" i="15"/>
  <c r="L11" i="15"/>
  <c r="L22" i="15"/>
  <c r="B26" i="15"/>
  <c r="H23" i="17"/>
  <c r="B13" i="15"/>
  <c r="N68" i="2"/>
  <c r="D69" i="2"/>
  <c r="N22" i="15"/>
  <c r="M20" i="15"/>
  <c r="O12" i="15"/>
  <c r="M24" i="15"/>
  <c r="N32" i="15"/>
  <c r="L31" i="15"/>
  <c r="M26" i="13"/>
  <c r="C30" i="17"/>
  <c r="M23" i="15"/>
  <c r="M26" i="15"/>
  <c r="C10" i="17"/>
  <c r="L33" i="15"/>
  <c r="N19" i="17"/>
  <c r="I24" i="17"/>
  <c r="N24" i="17" s="1"/>
  <c r="D40" i="15"/>
  <c r="E28" i="17" s="1"/>
  <c r="O16" i="17"/>
  <c r="L12" i="15"/>
  <c r="M32" i="13"/>
  <c r="L26" i="13"/>
  <c r="O40" i="14"/>
  <c r="L29" i="15"/>
  <c r="N13" i="15"/>
  <c r="P69" i="2"/>
  <c r="N10" i="15"/>
  <c r="M31" i="15"/>
  <c r="M13" i="15"/>
  <c r="E40" i="15"/>
  <c r="F28" i="17" s="1"/>
  <c r="M33" i="15"/>
  <c r="N33" i="15"/>
  <c r="N31" i="15"/>
  <c r="O14" i="15"/>
  <c r="M34" i="15"/>
  <c r="M11" i="15"/>
  <c r="L25" i="15"/>
  <c r="M35" i="14"/>
  <c r="O35" i="15"/>
  <c r="O27" i="15"/>
  <c r="O19" i="15"/>
  <c r="O11" i="15"/>
  <c r="N30" i="15"/>
  <c r="G10" i="15"/>
  <c r="N40" i="14"/>
  <c r="L17" i="15"/>
  <c r="M28" i="15"/>
  <c r="M14" i="17"/>
  <c r="E21" i="17"/>
  <c r="E22" i="17" s="1"/>
  <c r="G21" i="15"/>
  <c r="M10" i="13"/>
  <c r="M25" i="15"/>
  <c r="L32" i="15"/>
  <c r="M38" i="15"/>
  <c r="M7" i="15"/>
  <c r="O32" i="15"/>
  <c r="M32" i="15"/>
  <c r="O8" i="15"/>
  <c r="P33" i="17"/>
  <c r="K20" i="17"/>
  <c r="P20" i="17" s="1"/>
  <c r="F21" i="17"/>
  <c r="F22" i="17" s="1"/>
  <c r="O15" i="17"/>
  <c r="N23" i="21"/>
  <c r="O33" i="17"/>
  <c r="C24" i="17"/>
  <c r="H17" i="17"/>
  <c r="P54" i="11"/>
  <c r="C16" i="17"/>
  <c r="P18" i="17"/>
  <c r="M29" i="15"/>
  <c r="O10" i="15"/>
  <c r="M22" i="15"/>
  <c r="L23" i="15"/>
  <c r="L10" i="13"/>
  <c r="G26" i="15"/>
  <c r="N37" i="15"/>
  <c r="B10" i="15"/>
  <c r="M36" i="15"/>
  <c r="L19" i="15"/>
  <c r="M8" i="15"/>
  <c r="N18" i="15"/>
  <c r="M19" i="15"/>
  <c r="O39" i="13"/>
  <c r="L22" i="5"/>
  <c r="N14" i="15"/>
  <c r="C54" i="11"/>
  <c r="L23" i="21"/>
  <c r="H33" i="17"/>
  <c r="O14" i="17"/>
  <c r="J24" i="17"/>
  <c r="I27" i="17"/>
  <c r="N27" i="17" s="1"/>
  <c r="N66" i="2"/>
  <c r="C11" i="17"/>
  <c r="M32" i="17"/>
  <c r="N44" i="2"/>
  <c r="J21" i="17"/>
  <c r="J22" i="17" s="1"/>
  <c r="O31" i="17"/>
  <c r="N29" i="15"/>
  <c r="M27" i="15"/>
  <c r="F24" i="17"/>
  <c r="P24" i="17" s="1"/>
  <c r="P14" i="17"/>
  <c r="M30" i="15"/>
  <c r="M12" i="11"/>
  <c r="O30" i="15"/>
  <c r="O26" i="15"/>
  <c r="O18" i="15"/>
  <c r="K27" i="17"/>
  <c r="O7" i="15"/>
  <c r="N25" i="15"/>
  <c r="N21" i="15"/>
  <c r="D21" i="17"/>
  <c r="O31" i="15"/>
  <c r="O23" i="15"/>
  <c r="O15" i="15"/>
  <c r="P23" i="17"/>
  <c r="O34" i="15"/>
  <c r="O23" i="21"/>
  <c r="P26" i="17"/>
  <c r="L30" i="18"/>
  <c r="N27" i="15"/>
  <c r="H12" i="17"/>
  <c r="L37" i="6"/>
  <c r="H54" i="11"/>
  <c r="M53" i="11"/>
  <c r="C12" i="17"/>
  <c r="N15" i="15"/>
  <c r="M24" i="2"/>
  <c r="G18" i="15"/>
  <c r="L18" i="14"/>
  <c r="H69" i="2"/>
  <c r="G40" i="14"/>
  <c r="H8" i="17"/>
  <c r="M7" i="17"/>
  <c r="M30" i="17"/>
  <c r="I9" i="17"/>
  <c r="N69" i="2"/>
  <c r="E9" i="17"/>
  <c r="O69" i="2"/>
  <c r="I26" i="17"/>
  <c r="I18" i="17"/>
  <c r="C9" i="17"/>
  <c r="N16" i="15"/>
  <c r="L20" i="15"/>
  <c r="M14" i="15"/>
  <c r="M10" i="15"/>
  <c r="N20" i="15"/>
  <c r="M9" i="15"/>
  <c r="N35" i="15"/>
  <c r="L34" i="15"/>
  <c r="L16" i="15"/>
  <c r="L8" i="15"/>
  <c r="M15" i="15"/>
  <c r="N39" i="15"/>
  <c r="L27" i="15"/>
  <c r="L28" i="15"/>
  <c r="L7" i="15"/>
  <c r="M40" i="14" l="1"/>
  <c r="H40" i="15"/>
  <c r="I28" i="17" s="1"/>
  <c r="L35" i="15"/>
  <c r="D26" i="17"/>
  <c r="H26" i="17"/>
  <c r="H20" i="17" s="1"/>
  <c r="C40" i="15"/>
  <c r="D28" i="17" s="1"/>
  <c r="I25" i="17"/>
  <c r="N25" i="17" s="1"/>
  <c r="M16" i="17"/>
  <c r="N54" i="11"/>
  <c r="L13" i="15"/>
  <c r="L39" i="15"/>
  <c r="M33" i="17"/>
  <c r="C21" i="17"/>
  <c r="M24" i="17"/>
  <c r="L21" i="15"/>
  <c r="L18" i="15"/>
  <c r="L39" i="13"/>
  <c r="L26" i="15"/>
  <c r="H25" i="17"/>
  <c r="N40" i="15"/>
  <c r="D9" i="17"/>
  <c r="M11" i="17"/>
  <c r="M10" i="17"/>
  <c r="C23" i="17"/>
  <c r="G40" i="15"/>
  <c r="P28" i="17"/>
  <c r="M17" i="17"/>
  <c r="O21" i="17"/>
  <c r="I21" i="17"/>
  <c r="N21" i="17" s="1"/>
  <c r="L10" i="15"/>
  <c r="C18" i="17"/>
  <c r="O40" i="15"/>
  <c r="C26" i="17"/>
  <c r="B40" i="15"/>
  <c r="J25" i="17"/>
  <c r="O24" i="17"/>
  <c r="F25" i="17"/>
  <c r="P25" i="17" s="1"/>
  <c r="P27" i="17"/>
  <c r="K21" i="17"/>
  <c r="M69" i="2"/>
  <c r="M12" i="17"/>
  <c r="M54" i="11"/>
  <c r="H18" i="17"/>
  <c r="M8" i="17"/>
  <c r="H9" i="17"/>
  <c r="D20" i="17"/>
  <c r="L40" i="14"/>
  <c r="H27" i="17"/>
  <c r="N18" i="17"/>
  <c r="N9" i="17"/>
  <c r="I20" i="17"/>
  <c r="N26" i="17"/>
  <c r="O9" i="17"/>
  <c r="O22" i="17"/>
  <c r="O28" i="17"/>
  <c r="N28" i="17" l="1"/>
  <c r="M40" i="15"/>
  <c r="C28" i="17"/>
  <c r="M23" i="17"/>
  <c r="C25" i="17"/>
  <c r="M9" i="17"/>
  <c r="H28" i="17"/>
  <c r="M26" i="17"/>
  <c r="I22" i="17"/>
  <c r="M18" i="17"/>
  <c r="O25" i="17"/>
  <c r="L40" i="15"/>
  <c r="C20" i="17"/>
  <c r="K22" i="17"/>
  <c r="P21" i="17"/>
  <c r="M27" i="17"/>
  <c r="H21" i="17"/>
  <c r="D22" i="17"/>
  <c r="N20" i="17"/>
  <c r="M25" i="17" l="1"/>
  <c r="P22" i="17"/>
  <c r="N22" i="17"/>
  <c r="C22" i="17"/>
  <c r="M20" i="17"/>
  <c r="M28" i="17"/>
  <c r="M21" i="17"/>
  <c r="H22" i="17"/>
  <c r="M22" i="17" l="1"/>
  <c r="F30" i="17" l="1"/>
  <c r="O30" i="18"/>
  <c r="O29" i="18"/>
  <c r="P30" i="17" l="1"/>
</calcChain>
</file>

<file path=xl/sharedStrings.xml><?xml version="1.0" encoding="utf-8"?>
<sst xmlns="http://schemas.openxmlformats.org/spreadsheetml/2006/main" count="957" uniqueCount="142">
  <si>
    <t>STATES</t>
  </si>
  <si>
    <t>Andhra Pradesh</t>
  </si>
  <si>
    <t>Kharif</t>
  </si>
  <si>
    <t>Rabi/Summer</t>
  </si>
  <si>
    <t>Total</t>
  </si>
  <si>
    <t xml:space="preserve">Bihar                       </t>
  </si>
  <si>
    <t>Chhattisgarh</t>
  </si>
  <si>
    <t>Goa</t>
  </si>
  <si>
    <t>Gujarat</t>
  </si>
  <si>
    <t xml:space="preserve">Haryana </t>
  </si>
  <si>
    <t xml:space="preserve">Himachal Pradesh </t>
  </si>
  <si>
    <t>Karnataka</t>
  </si>
  <si>
    <t>Kerala</t>
  </si>
  <si>
    <t>Madhya Pradesh</t>
  </si>
  <si>
    <t>Maharashtra</t>
  </si>
  <si>
    <t>Nagaland</t>
  </si>
  <si>
    <t>Summer</t>
  </si>
  <si>
    <t>Punjab</t>
  </si>
  <si>
    <t>Rajasthan</t>
  </si>
  <si>
    <t>Tamil Nadu</t>
  </si>
  <si>
    <t xml:space="preserve">Tripura </t>
  </si>
  <si>
    <t>Rabi</t>
  </si>
  <si>
    <t>Uttar Pradesh</t>
  </si>
  <si>
    <t>West Bengal</t>
  </si>
  <si>
    <t xml:space="preserve">All India                             </t>
  </si>
  <si>
    <t xml:space="preserve">Assam  </t>
  </si>
  <si>
    <t xml:space="preserve">Bihar                                 </t>
  </si>
  <si>
    <t xml:space="preserve">Rajasthan </t>
  </si>
  <si>
    <t>Assam</t>
  </si>
  <si>
    <t>Chhatisgarh</t>
  </si>
  <si>
    <t xml:space="preserve">Jharkhand  </t>
  </si>
  <si>
    <t xml:space="preserve">D &amp; N Haveli   </t>
  </si>
  <si>
    <t>Arunachal Pradesh</t>
  </si>
  <si>
    <t xml:space="preserve">Bihar    </t>
  </si>
  <si>
    <t>Haryana</t>
  </si>
  <si>
    <t xml:space="preserve">Jammu &amp; Kashmir  </t>
  </si>
  <si>
    <t>Manipur</t>
  </si>
  <si>
    <t>Meghalaya</t>
  </si>
  <si>
    <t>Mizoram</t>
  </si>
  <si>
    <t xml:space="preserve">Tripura   </t>
  </si>
  <si>
    <t>Bihar</t>
  </si>
  <si>
    <t>Jammu &amp; Kashmir</t>
  </si>
  <si>
    <t xml:space="preserve">Sikkim  </t>
  </si>
  <si>
    <t xml:space="preserve">Delhi </t>
  </si>
  <si>
    <t>All India</t>
  </si>
  <si>
    <t>Himachal Pradesh</t>
  </si>
  <si>
    <t xml:space="preserve">Bihar  </t>
  </si>
  <si>
    <t xml:space="preserve">Punjab </t>
  </si>
  <si>
    <t xml:space="preserve">Tamil Nadu  </t>
  </si>
  <si>
    <t xml:space="preserve">Gujarat  </t>
  </si>
  <si>
    <t>Jharkhand</t>
  </si>
  <si>
    <t>Sikkim</t>
  </si>
  <si>
    <t>Tripura</t>
  </si>
  <si>
    <t>D &amp; N Havelli</t>
  </si>
  <si>
    <t>Delhi</t>
  </si>
  <si>
    <t>Groundnut</t>
  </si>
  <si>
    <t>Castorseed</t>
  </si>
  <si>
    <t>Nigerseed</t>
  </si>
  <si>
    <t>Sesamum</t>
  </si>
  <si>
    <t>Rapeseed &amp; Mustard</t>
  </si>
  <si>
    <t>Linseed</t>
  </si>
  <si>
    <t>Safflower</t>
  </si>
  <si>
    <t>Sunflower</t>
  </si>
  <si>
    <t>Soyabean</t>
  </si>
  <si>
    <t>Edible Oilseeds</t>
  </si>
  <si>
    <t>Non Edible Oilseeds</t>
  </si>
  <si>
    <t>Total Nine Oilseeds</t>
  </si>
  <si>
    <t xml:space="preserve">Bihar                    </t>
  </si>
  <si>
    <t xml:space="preserve">All India                  </t>
  </si>
  <si>
    <t xml:space="preserve">All India                     </t>
  </si>
  <si>
    <t xml:space="preserve">Bihar                          </t>
  </si>
  <si>
    <t xml:space="preserve">Rabi </t>
  </si>
  <si>
    <t xml:space="preserve">Total </t>
  </si>
  <si>
    <t xml:space="preserve">West Bengal  </t>
  </si>
  <si>
    <t xml:space="preserve">Punjab               </t>
  </si>
  <si>
    <t xml:space="preserve">Rajasthan    </t>
  </si>
  <si>
    <t xml:space="preserve">Uttar Pradesh </t>
  </si>
  <si>
    <t>States</t>
  </si>
  <si>
    <t>Yield (Kgs./Hect.)</t>
  </si>
  <si>
    <t>Season</t>
  </si>
  <si>
    <t>Area (' 000 Hectares)</t>
  </si>
  <si>
    <t>Production ('000 Tonnes)</t>
  </si>
  <si>
    <t>D &amp; N Haveli</t>
  </si>
  <si>
    <t>2003-04</t>
  </si>
  <si>
    <t>Uttarakhand</t>
  </si>
  <si>
    <t>(Continued)</t>
  </si>
  <si>
    <t>(Concluded)</t>
  </si>
  <si>
    <t>Others</t>
  </si>
  <si>
    <t>Sugarcane</t>
  </si>
  <si>
    <t>@ Thousand bales of 170 kgs each.</t>
  </si>
  <si>
    <t>$ Thousand bales of 180 kgs each.</t>
  </si>
  <si>
    <t>Production ( '000 Bales of 170 Kgs. each)</t>
  </si>
  <si>
    <t>#</t>
  </si>
  <si>
    <t xml:space="preserve">All India </t>
  </si>
  <si>
    <t>Estimates of  Area, Production and Yield  of Sugarcane</t>
  </si>
  <si>
    <t xml:space="preserve">Chhattisgarh  </t>
  </si>
  <si>
    <t xml:space="preserve">Meghalaya </t>
  </si>
  <si>
    <t xml:space="preserve">Mizoram  </t>
  </si>
  <si>
    <t xml:space="preserve">Tripura  </t>
  </si>
  <si>
    <t xml:space="preserve">A &amp; N Islands  </t>
  </si>
  <si>
    <r>
      <t xml:space="preserve">Estimates of Area, Production and Yield of </t>
    </r>
    <r>
      <rPr>
        <b/>
        <sz val="14"/>
        <rFont val="Arial"/>
        <family val="2"/>
      </rPr>
      <t>Groundnut</t>
    </r>
  </si>
  <si>
    <t>Odisha</t>
  </si>
  <si>
    <t>A &amp; N Islands</t>
  </si>
  <si>
    <t>Telangana</t>
  </si>
  <si>
    <t xml:space="preserve">Odisha      </t>
  </si>
  <si>
    <t xml:space="preserve">Odisha          </t>
  </si>
  <si>
    <t>Production ( '000 Bales of 180 Kgs. each)</t>
  </si>
  <si>
    <t>2015-16</t>
  </si>
  <si>
    <t>2016-17</t>
  </si>
  <si>
    <t>D&amp;N Haveli</t>
  </si>
  <si>
    <t>D &amp; Nagar Haveli</t>
  </si>
  <si>
    <t>2017-18</t>
  </si>
  <si>
    <t>All  India  Area, Production and Yield of  Oilseeds and Commercial Crops</t>
  </si>
  <si>
    <t>Crops</t>
  </si>
  <si>
    <t>Area ('000 Hectares)</t>
  </si>
  <si>
    <t>Estimates of  Area, Production and Yield of Castorseed (Kharif)</t>
  </si>
  <si>
    <t>Estimates of  Area, Production and Yield of Nigerseed (Kharif)</t>
  </si>
  <si>
    <t>Estimates of Area, Production and Yield of Sesamum (Kharif)</t>
  </si>
  <si>
    <t>Estimates of  Area, Production and Yield of Linseed (Rabi)</t>
  </si>
  <si>
    <t>Estimates of Area, Production and Yield of Safflower (Rabi)</t>
  </si>
  <si>
    <t>Estimates of Area, Production and Yield of Sunflower</t>
  </si>
  <si>
    <t xml:space="preserve">Telangana </t>
  </si>
  <si>
    <t>Estimates of  Area, Production and Yield of  Kharif Oilseeds</t>
  </si>
  <si>
    <t xml:space="preserve"> Estimates of Area, Production and Yield of Cotton</t>
  </si>
  <si>
    <t>Estimates of Area, Production and Yield of Jute</t>
  </si>
  <si>
    <t>Estimates of  Area, Production and Yield of Mesta</t>
  </si>
  <si>
    <t>Estimates of  Area, Production and Yield of Jute &amp; Mesta</t>
  </si>
  <si>
    <t>Estimates of  Area, Production and Yield of Rapeseed &amp; Mustard</t>
  </si>
  <si>
    <t>Estimates of  Area, Production and Yield of Rabi Oilseeds</t>
  </si>
  <si>
    <t>Estimates of  Area, Production and Yield of  Total Oilseeds</t>
  </si>
  <si>
    <t>Estimates of  Area, Production and Yield of  Soyabean (Kharif)</t>
  </si>
  <si>
    <t>Jute $</t>
  </si>
  <si>
    <t>Cotton @</t>
  </si>
  <si>
    <t>Mesta $</t>
  </si>
  <si>
    <t>Jute &amp; Mesta $</t>
  </si>
  <si>
    <t>Chandigarh</t>
  </si>
  <si>
    <t xml:space="preserve">Puducherry    </t>
  </si>
  <si>
    <t>Puducherry</t>
  </si>
  <si>
    <t>2018-19</t>
  </si>
  <si>
    <t>A&amp;N Islands</t>
  </si>
  <si>
    <t>States / UT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</si>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</sst>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0_)"/>
    <numFmt numFmtId="167" formatCode="0.0;[Red]0.0"/>
    <numFmt numFmtId="168" formatCode="0.00;[Red]0.00"/>
    <numFmt numFmtId="169" formatCode="0;[Red]0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horizontal="center" vertical="center"/>
    </xf>
    <xf numFmtId="1" fontId="3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1" fontId="2" fillId="0" borderId="1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 vertical="center"/>
    </xf>
    <xf numFmtId="1" fontId="2" fillId="0" borderId="0" xfId="1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vertical="center"/>
    </xf>
    <xf numFmtId="169" fontId="2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2" fillId="0" borderId="0" xfId="0" applyNumberFormat="1" applyFont="1"/>
    <xf numFmtId="167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7" fontId="2" fillId="0" borderId="0" xfId="1" applyNumberFormat="1" applyFont="1" applyAlignment="1">
      <alignment vertical="center"/>
    </xf>
    <xf numFmtId="167" fontId="10" fillId="0" borderId="0" xfId="1" applyNumberFormat="1" applyFont="1" applyFill="1" applyAlignment="1">
      <alignment vertical="center"/>
    </xf>
    <xf numFmtId="0" fontId="11" fillId="0" borderId="0" xfId="0" applyFont="1"/>
    <xf numFmtId="167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164" fontId="2" fillId="0" borderId="0" xfId="0" applyNumberFormat="1" applyFont="1"/>
    <xf numFmtId="2" fontId="3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168" fontId="3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169" fontId="2" fillId="0" borderId="0" xfId="0" applyNumberFormat="1" applyFont="1" applyBorder="1" applyAlignment="1">
      <alignment vertical="center"/>
    </xf>
    <xf numFmtId="169" fontId="3" fillId="0" borderId="1" xfId="0" applyNumberFormat="1" applyFont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169" fontId="3" fillId="0" borderId="1" xfId="0" applyNumberFormat="1" applyFont="1" applyBorder="1" applyAlignment="1">
      <alignment horizontal="right" vertical="center"/>
    </xf>
    <xf numFmtId="169" fontId="4" fillId="0" borderId="1" xfId="0" applyNumberFormat="1" applyFont="1" applyBorder="1" applyAlignment="1">
      <alignment horizontal="right" vertical="center"/>
    </xf>
    <xf numFmtId="2" fontId="3" fillId="0" borderId="1" xfId="3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2" fontId="3" fillId="0" borderId="1" xfId="3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2" fontId="3" fillId="0" borderId="1" xfId="2" applyNumberFormat="1" applyFont="1" applyFill="1" applyBorder="1" applyAlignment="1" applyProtection="1">
      <alignment horizontal="right" vertical="center"/>
    </xf>
    <xf numFmtId="164" fontId="4" fillId="0" borderId="1" xfId="1" applyNumberFormat="1" applyFont="1" applyBorder="1" applyAlignment="1">
      <alignment horizontal="center" vertical="center" wrapText="1"/>
    </xf>
    <xf numFmtId="169" fontId="3" fillId="0" borderId="1" xfId="1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169" fontId="3" fillId="0" borderId="1" xfId="1" applyNumberFormat="1" applyFont="1" applyBorder="1" applyAlignment="1">
      <alignment vertical="center"/>
    </xf>
    <xf numFmtId="2" fontId="3" fillId="0" borderId="1" xfId="1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0" fontId="2" fillId="0" borderId="0" xfId="0" quotePrefix="1" applyFont="1"/>
    <xf numFmtId="168" fontId="3" fillId="0" borderId="0" xfId="0" applyNumberFormat="1" applyFont="1" applyAlignment="1">
      <alignment vertical="center"/>
    </xf>
    <xf numFmtId="169" fontId="6" fillId="0" borderId="0" xfId="1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2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>
      <alignment horizontal="left" vertical="center" indent="1"/>
    </xf>
    <xf numFmtId="164" fontId="4" fillId="0" borderId="1" xfId="0" applyNumberFormat="1" applyFont="1" applyBorder="1" applyAlignment="1">
      <alignment horizontal="left" vertical="center" indent="1"/>
    </xf>
    <xf numFmtId="2" fontId="13" fillId="0" borderId="1" xfId="0" applyNumberFormat="1" applyFont="1" applyBorder="1"/>
    <xf numFmtId="0" fontId="3" fillId="0" borderId="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 vertical="center"/>
    </xf>
    <xf numFmtId="169" fontId="3" fillId="0" borderId="0" xfId="1" applyNumberFormat="1" applyFont="1" applyBorder="1" applyAlignment="1">
      <alignment horizontal="right" vertical="center"/>
    </xf>
    <xf numFmtId="169" fontId="4" fillId="0" borderId="0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right" vertical="center"/>
    </xf>
    <xf numFmtId="1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2" fontId="4" fillId="0" borderId="1" xfId="1" applyNumberFormat="1" applyFont="1" applyBorder="1" applyAlignment="1">
      <alignment horizontal="right" vertical="center"/>
    </xf>
    <xf numFmtId="169" fontId="4" fillId="0" borderId="1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2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left" vertical="center" indent="1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vertical="center"/>
    </xf>
    <xf numFmtId="169" fontId="4" fillId="0" borderId="1" xfId="1" applyNumberFormat="1" applyFont="1" applyBorder="1" applyAlignment="1">
      <alignment vertical="center"/>
    </xf>
    <xf numFmtId="166" fontId="4" fillId="0" borderId="1" xfId="2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vertical="center"/>
    </xf>
    <xf numFmtId="2" fontId="4" fillId="2" borderId="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3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66" fontId="2" fillId="0" borderId="0" xfId="2" applyNumberFormat="1" applyFont="1" applyFill="1" applyBorder="1" applyAlignment="1" applyProtection="1">
      <alignment horizontal="left" vertical="center" wrapText="1"/>
    </xf>
    <xf numFmtId="169" fontId="3" fillId="0" borderId="0" xfId="0" applyNumberFormat="1" applyFont="1" applyBorder="1" applyAlignment="1">
      <alignment horizontal="right" vertical="center"/>
    </xf>
    <xf numFmtId="0" fontId="2" fillId="0" borderId="0" xfId="2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9" fontId="3" fillId="0" borderId="3" xfId="0" applyNumberFormat="1" applyFont="1" applyBorder="1" applyAlignment="1">
      <alignment horizontal="right" vertical="center"/>
    </xf>
    <xf numFmtId="169" fontId="4" fillId="0" borderId="3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9" fontId="3" fillId="0" borderId="0" xfId="1" applyNumberFormat="1" applyFont="1" applyBorder="1" applyAlignment="1">
      <alignment vertical="center"/>
    </xf>
    <xf numFmtId="169" fontId="4" fillId="0" borderId="0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3" fillId="0" borderId="1" xfId="0" applyNumberFormat="1" applyFont="1" applyFill="1" applyBorder="1" applyAlignment="1">
      <alignment vertical="center"/>
    </xf>
    <xf numFmtId="169" fontId="3" fillId="0" borderId="1" xfId="1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 vertical="center"/>
    </xf>
    <xf numFmtId="167" fontId="3" fillId="0" borderId="1" xfId="1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164" fontId="2" fillId="0" borderId="0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_Advance 27.06.02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>
    <pageSetUpPr fitToPage="1"/>
  </sheetPr>
  <dimension ref="A1:R47"/>
  <sheetViews>
    <sheetView view="pageBreakPreview" zoomScale="60" zoomScaleNormal="60" workbookViewId="0">
      <selection activeCell="S26" sqref="S1:W1048576"/>
    </sheetView>
  </sheetViews>
  <sheetFormatPr defaultRowHeight="15" x14ac:dyDescent="0.2"/>
  <cols>
    <col min="1" max="1" width="33" style="11" customWidth="1"/>
    <col min="2" max="2" width="12" style="11" customWidth="1"/>
    <col min="3" max="7" width="13.28515625" style="11" customWidth="1"/>
    <col min="8" max="12" width="13.28515625" style="44" customWidth="1"/>
    <col min="13" max="17" width="12" style="11" customWidth="1"/>
    <col min="18" max="18" width="29.85546875" style="11" customWidth="1"/>
    <col min="19" max="16384" width="9.140625" style="11"/>
  </cols>
  <sheetData>
    <row r="1" spans="1:18" ht="46.5" customHeight="1" x14ac:dyDescent="0.2"/>
    <row r="2" spans="1:18" ht="15" customHeight="1" x14ac:dyDescent="0.2"/>
    <row r="3" spans="1:18" ht="27.75" customHeight="1" x14ac:dyDescent="0.2">
      <c r="A3" s="212" t="s">
        <v>112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61"/>
      <c r="P3" s="61"/>
      <c r="Q3" s="61"/>
      <c r="R3" s="61"/>
    </row>
    <row r="4" spans="1:18" ht="24" customHeight="1" x14ac:dyDescent="0.2">
      <c r="A4" s="16"/>
      <c r="B4" s="16"/>
      <c r="C4" s="16"/>
      <c r="D4" s="16"/>
      <c r="E4" s="16"/>
      <c r="F4" s="16"/>
      <c r="G4" s="16"/>
      <c r="H4" s="45"/>
      <c r="I4" s="45"/>
      <c r="J4" s="45"/>
      <c r="K4" s="45"/>
      <c r="L4" s="45"/>
    </row>
    <row r="5" spans="1:18" s="2" customFormat="1" ht="33" customHeight="1" x14ac:dyDescent="0.2">
      <c r="A5" s="209" t="s">
        <v>113</v>
      </c>
      <c r="B5" s="210" t="s">
        <v>79</v>
      </c>
      <c r="C5" s="213" t="s">
        <v>114</v>
      </c>
      <c r="D5" s="213"/>
      <c r="E5" s="213"/>
      <c r="F5" s="213"/>
      <c r="G5" s="213"/>
      <c r="H5" s="213" t="s">
        <v>81</v>
      </c>
      <c r="I5" s="213"/>
      <c r="J5" s="213"/>
      <c r="K5" s="213"/>
      <c r="L5" s="213"/>
      <c r="M5" s="213" t="s">
        <v>78</v>
      </c>
      <c r="N5" s="213"/>
      <c r="O5" s="213"/>
      <c r="P5" s="213"/>
      <c r="Q5" s="213"/>
      <c r="R5" s="146"/>
    </row>
    <row r="6" spans="1:18" s="2" customFormat="1" ht="33.75" customHeight="1" x14ac:dyDescent="0.2">
      <c r="A6" s="209"/>
      <c r="B6" s="211"/>
      <c r="C6" s="99" t="s">
        <v>107</v>
      </c>
      <c r="D6" s="99" t="s">
        <v>108</v>
      </c>
      <c r="E6" s="99" t="s">
        <v>111</v>
      </c>
      <c r="F6" s="99" t="s">
        <v>138</v>
      </c>
      <c r="G6" s="99" t="s">
        <v>141</v>
      </c>
      <c r="H6" s="99" t="s">
        <v>107</v>
      </c>
      <c r="I6" s="99" t="s">
        <v>108</v>
      </c>
      <c r="J6" s="99" t="s">
        <v>111</v>
      </c>
      <c r="K6" s="99" t="s">
        <v>138</v>
      </c>
      <c r="L6" s="99" t="s">
        <v>141</v>
      </c>
      <c r="M6" s="99" t="s">
        <v>107</v>
      </c>
      <c r="N6" s="99" t="s">
        <v>108</v>
      </c>
      <c r="O6" s="99" t="s">
        <v>111</v>
      </c>
      <c r="P6" s="99" t="s">
        <v>138</v>
      </c>
      <c r="Q6" s="99" t="s">
        <v>141</v>
      </c>
      <c r="R6" s="155"/>
    </row>
    <row r="7" spans="1:18" s="2" customFormat="1" ht="28.5" customHeight="1" x14ac:dyDescent="0.2">
      <c r="A7" s="214" t="s">
        <v>55</v>
      </c>
      <c r="B7" s="4" t="s">
        <v>2</v>
      </c>
      <c r="C7" s="71">
        <f>'G Nut U'!C67</f>
        <v>3837.7700000000004</v>
      </c>
      <c r="D7" s="71">
        <f>'G Nut U'!D67</f>
        <v>4578.4619999999995</v>
      </c>
      <c r="E7" s="71">
        <f>'G Nut U'!E67</f>
        <v>4142.0309999999999</v>
      </c>
      <c r="F7" s="71">
        <f>'G Nut U'!F67</f>
        <v>4131.9415999999992</v>
      </c>
      <c r="G7" s="71">
        <f>'G Nut U'!G67</f>
        <v>4160.4879999999994</v>
      </c>
      <c r="H7" s="71">
        <f>'G Nut U'!H67</f>
        <v>5367.5046000000011</v>
      </c>
      <c r="I7" s="71">
        <f>'G Nut U'!I67</f>
        <v>6047.6369999999997</v>
      </c>
      <c r="J7" s="71">
        <f>'G Nut U'!J67</f>
        <v>7595.355176</v>
      </c>
      <c r="K7" s="71">
        <f>'G Nut U'!K67</f>
        <v>5386.9723465999987</v>
      </c>
      <c r="L7" s="71">
        <f>'G Nut U'!L67</f>
        <v>8388.9477310000002</v>
      </c>
      <c r="M7" s="14">
        <f t="shared" ref="M7:M29" si="0">H7/C7*1000</f>
        <v>1398.5998639835113</v>
      </c>
      <c r="N7" s="14">
        <f t="shared" ref="N7:N29" si="1">I7/D7*1000</f>
        <v>1320.8883245072254</v>
      </c>
      <c r="O7" s="14">
        <f t="shared" ref="O7:O29" si="2">J7/E7*1000</f>
        <v>1833.7272647162708</v>
      </c>
      <c r="P7" s="14">
        <f t="shared" ref="P7:Q29" si="3">K7/F7*1000</f>
        <v>1303.7387427256956</v>
      </c>
      <c r="Q7" s="14">
        <f>L7/G7*1000</f>
        <v>2016.3374419058537</v>
      </c>
      <c r="R7" s="59"/>
    </row>
    <row r="8" spans="1:18" s="2" customFormat="1" ht="28.5" customHeight="1" x14ac:dyDescent="0.2">
      <c r="A8" s="215"/>
      <c r="B8" s="4" t="s">
        <v>21</v>
      </c>
      <c r="C8" s="71">
        <f>'G Nut U'!C68</f>
        <v>758.52600000000007</v>
      </c>
      <c r="D8" s="71">
        <f>'G Nut U'!D68</f>
        <v>759.57899999999995</v>
      </c>
      <c r="E8" s="71">
        <f>'G Nut U'!E68</f>
        <v>745.67099999999994</v>
      </c>
      <c r="F8" s="71">
        <f>'G Nut U'!F68</f>
        <v>598.82140000000004</v>
      </c>
      <c r="G8" s="71">
        <f>'G Nut U'!G68</f>
        <v>664.70999999999992</v>
      </c>
      <c r="H8" s="71">
        <f>'G Nut U'!H68</f>
        <v>1365.8240000000001</v>
      </c>
      <c r="I8" s="71">
        <f>'G Nut U'!I68</f>
        <v>1413.8910000000001</v>
      </c>
      <c r="J8" s="71">
        <f>'G Nut U'!J68</f>
        <v>1657.2100690000004</v>
      </c>
      <c r="K8" s="71">
        <f>'G Nut U'!K68</f>
        <v>1340.2052980000001</v>
      </c>
      <c r="L8" s="71">
        <f>'G Nut U'!L68</f>
        <v>1563.0704520000002</v>
      </c>
      <c r="M8" s="14">
        <f t="shared" si="0"/>
        <v>1800.6291148886128</v>
      </c>
      <c r="N8" s="14">
        <f t="shared" si="1"/>
        <v>1861.4140201348382</v>
      </c>
      <c r="O8" s="14">
        <f t="shared" si="2"/>
        <v>2222.4413568450436</v>
      </c>
      <c r="P8" s="14">
        <f t="shared" si="3"/>
        <v>2238.0718157367123</v>
      </c>
      <c r="Q8" s="14">
        <f t="shared" si="3"/>
        <v>2351.5073520783503</v>
      </c>
      <c r="R8" s="59"/>
    </row>
    <row r="9" spans="1:18" s="18" customFormat="1" ht="28.5" customHeight="1" x14ac:dyDescent="0.2">
      <c r="A9" s="215"/>
      <c r="B9" s="165" t="s">
        <v>4</v>
      </c>
      <c r="C9" s="72">
        <f>'G Nut U'!C69</f>
        <v>4596.2960000000003</v>
      </c>
      <c r="D9" s="72">
        <f>'G Nut U'!D69</f>
        <v>5338.0409999999993</v>
      </c>
      <c r="E9" s="72">
        <f>'G Nut U'!E69</f>
        <v>4887.7020000000002</v>
      </c>
      <c r="F9" s="72">
        <f>'G Nut U'!F69</f>
        <v>4730.762999999999</v>
      </c>
      <c r="G9" s="72">
        <f>'G Nut U'!G69</f>
        <v>4825.1979999999994</v>
      </c>
      <c r="H9" s="72">
        <f>'G Nut U'!H69</f>
        <v>6733.3286000000007</v>
      </c>
      <c r="I9" s="72">
        <f>'G Nut U'!I69</f>
        <v>7461.5280000000002</v>
      </c>
      <c r="J9" s="72">
        <f>'G Nut U'!J69</f>
        <v>9252.5652449999998</v>
      </c>
      <c r="K9" s="72">
        <f>'G Nut U'!K69</f>
        <v>6727.1776445999985</v>
      </c>
      <c r="L9" s="72">
        <f>'G Nut U'!L69</f>
        <v>9952.0181830000001</v>
      </c>
      <c r="M9" s="64">
        <f t="shared" si="0"/>
        <v>1464.946687506636</v>
      </c>
      <c r="N9" s="64">
        <f t="shared" si="1"/>
        <v>1397.8026770495021</v>
      </c>
      <c r="O9" s="64">
        <f t="shared" si="2"/>
        <v>1893.0297397427255</v>
      </c>
      <c r="P9" s="64">
        <f t="shared" si="3"/>
        <v>1422.0069034529947</v>
      </c>
      <c r="Q9" s="64">
        <f t="shared" si="3"/>
        <v>2062.5098043645053</v>
      </c>
      <c r="R9" s="156"/>
    </row>
    <row r="10" spans="1:18" s="2" customFormat="1" ht="28.5" customHeight="1" x14ac:dyDescent="0.2">
      <c r="A10" s="167" t="s">
        <v>56</v>
      </c>
      <c r="B10" s="4" t="s">
        <v>2</v>
      </c>
      <c r="C10" s="71">
        <f>'Castor U'!B26</f>
        <v>1060.729</v>
      </c>
      <c r="D10" s="71">
        <f>'Castor U'!C26</f>
        <v>807.91700000000003</v>
      </c>
      <c r="E10" s="71">
        <f>'Castor U'!D26</f>
        <v>824.12699999999995</v>
      </c>
      <c r="F10" s="71">
        <f>'Castor U'!E26</f>
        <v>751.31700000000012</v>
      </c>
      <c r="G10" s="71">
        <f>'Castor U'!F26</f>
        <v>1046.2919999999999</v>
      </c>
      <c r="H10" s="71">
        <f>'Castor U'!G26</f>
        <v>1751.8179999999998</v>
      </c>
      <c r="I10" s="71">
        <f>'Castor U'!H26</f>
        <v>1376.4209999999998</v>
      </c>
      <c r="J10" s="71">
        <f>'Castor U'!I26</f>
        <v>1567.5635920000004</v>
      </c>
      <c r="K10" s="71">
        <f>'Castor U'!J26</f>
        <v>1196.6792399999999</v>
      </c>
      <c r="L10" s="71">
        <f>'Castor U'!K26</f>
        <v>1842.0217390000005</v>
      </c>
      <c r="M10" s="14">
        <f t="shared" si="0"/>
        <v>1651.5226792140118</v>
      </c>
      <c r="N10" s="14">
        <f t="shared" si="1"/>
        <v>1703.6663419633448</v>
      </c>
      <c r="O10" s="14">
        <f t="shared" si="2"/>
        <v>1902.0898380953429</v>
      </c>
      <c r="P10" s="14">
        <f t="shared" si="3"/>
        <v>1592.7754063863852</v>
      </c>
      <c r="Q10" s="14">
        <f t="shared" si="3"/>
        <v>1760.5235813711665</v>
      </c>
      <c r="R10" s="59"/>
    </row>
    <row r="11" spans="1:18" s="2" customFormat="1" ht="28.5" customHeight="1" x14ac:dyDescent="0.2">
      <c r="A11" s="167" t="s">
        <v>57</v>
      </c>
      <c r="B11" s="4" t="s">
        <v>2</v>
      </c>
      <c r="C11" s="71">
        <f>'Niger U'!B22</f>
        <v>251.66699999999997</v>
      </c>
      <c r="D11" s="71">
        <f>'Niger U'!C22</f>
        <v>256.41299999999995</v>
      </c>
      <c r="E11" s="71">
        <f>'Niger U'!D22</f>
        <v>218.48099999999999</v>
      </c>
      <c r="F11" s="71">
        <f>'Niger U'!E22</f>
        <v>156.46100000000001</v>
      </c>
      <c r="G11" s="71">
        <f>'Niger U'!F22</f>
        <v>136.244</v>
      </c>
      <c r="H11" s="71">
        <f>'Niger U'!G22</f>
        <v>74.272999999999996</v>
      </c>
      <c r="I11" s="71">
        <f>'Niger U'!H22</f>
        <v>85.141999999999996</v>
      </c>
      <c r="J11" s="71">
        <f>'Niger U'!I22</f>
        <v>70.185243</v>
      </c>
      <c r="K11" s="71">
        <f>'Niger U'!J22</f>
        <v>45.417508000000005</v>
      </c>
      <c r="L11" s="71">
        <f>'Niger U'!K22</f>
        <v>41.321750000000002</v>
      </c>
      <c r="M11" s="14">
        <f t="shared" si="0"/>
        <v>295.12411241839413</v>
      </c>
      <c r="N11" s="14">
        <f t="shared" si="1"/>
        <v>332.05024706235645</v>
      </c>
      <c r="O11" s="14">
        <f t="shared" si="2"/>
        <v>321.24186084831172</v>
      </c>
      <c r="P11" s="14">
        <f t="shared" si="3"/>
        <v>290.28005701101233</v>
      </c>
      <c r="Q11" s="14">
        <f t="shared" si="3"/>
        <v>303.29225507178296</v>
      </c>
      <c r="R11" s="59"/>
    </row>
    <row r="12" spans="1:18" s="2" customFormat="1" ht="28.5" customHeight="1" x14ac:dyDescent="0.2">
      <c r="A12" s="167" t="s">
        <v>58</v>
      </c>
      <c r="B12" s="4" t="s">
        <v>2</v>
      </c>
      <c r="C12" s="71">
        <f>'Sesamum U'!B37</f>
        <v>1950.88</v>
      </c>
      <c r="D12" s="71">
        <f>'Sesamum U'!C37</f>
        <v>1666.9259999999999</v>
      </c>
      <c r="E12" s="71">
        <f>'Sesamum U'!D37</f>
        <v>1579.7666300000003</v>
      </c>
      <c r="F12" s="71">
        <f>'Sesamum U'!E37</f>
        <v>1419.9748</v>
      </c>
      <c r="G12" s="71">
        <f>'Sesamum U'!F37</f>
        <v>1622.6019999999999</v>
      </c>
      <c r="H12" s="71">
        <f>'Sesamum U'!G37</f>
        <v>850.06520000000012</v>
      </c>
      <c r="I12" s="71">
        <f>'Sesamum U'!H37</f>
        <v>747.03034999999988</v>
      </c>
      <c r="J12" s="71">
        <f>'Sesamum U'!I37</f>
        <v>755.42534818999991</v>
      </c>
      <c r="K12" s="71">
        <f>'Sesamum U'!J37</f>
        <v>689.30974780000008</v>
      </c>
      <c r="L12" s="71">
        <f>'Sesamum U'!K37</f>
        <v>657.49784899999997</v>
      </c>
      <c r="M12" s="14">
        <f t="shared" si="0"/>
        <v>435.73423275649964</v>
      </c>
      <c r="N12" s="14">
        <f t="shared" si="1"/>
        <v>448.14847809680811</v>
      </c>
      <c r="O12" s="14">
        <f t="shared" si="2"/>
        <v>478.18793855013877</v>
      </c>
      <c r="P12" s="14">
        <f t="shared" si="3"/>
        <v>485.43801467462674</v>
      </c>
      <c r="Q12" s="14">
        <f t="shared" si="3"/>
        <v>405.21202919754819</v>
      </c>
      <c r="R12" s="59"/>
    </row>
    <row r="13" spans="1:18" s="2" customFormat="1" ht="28.5" customHeight="1" x14ac:dyDescent="0.2">
      <c r="A13" s="167" t="s">
        <v>59</v>
      </c>
      <c r="B13" s="4" t="s">
        <v>21</v>
      </c>
      <c r="C13" s="71">
        <f>'R &amp; M U'!B38</f>
        <v>5745.5163000000002</v>
      </c>
      <c r="D13" s="71">
        <f>'R &amp; M U'!C38</f>
        <v>6073.8234999999995</v>
      </c>
      <c r="E13" s="71">
        <f>'R &amp; M U'!D38</f>
        <v>5977.1641</v>
      </c>
      <c r="F13" s="71">
        <f>'R &amp; M U'!E38</f>
        <v>6123.9283000000005</v>
      </c>
      <c r="G13" s="71">
        <f>'R &amp; M U'!F38</f>
        <v>6856.2690000000002</v>
      </c>
      <c r="H13" s="71">
        <f>'R &amp; M U'!G38</f>
        <v>6796.7152500000002</v>
      </c>
      <c r="I13" s="71">
        <f>'R &amp; M U'!H38</f>
        <v>7917.2348600000005</v>
      </c>
      <c r="J13" s="71">
        <f>'R &amp; M U'!I38</f>
        <v>8429.846947</v>
      </c>
      <c r="K13" s="71">
        <f>'R &amp; M U'!J38</f>
        <v>9255.6565787587915</v>
      </c>
      <c r="L13" s="71">
        <f>'R &amp; M U'!K38</f>
        <v>9123.6388143651093</v>
      </c>
      <c r="M13" s="14">
        <f t="shared" si="0"/>
        <v>1182.9598760341173</v>
      </c>
      <c r="N13" s="14">
        <f t="shared" si="1"/>
        <v>1303.5009759503221</v>
      </c>
      <c r="O13" s="14">
        <f t="shared" si="2"/>
        <v>1410.3422301890625</v>
      </c>
      <c r="P13" s="14">
        <f t="shared" si="3"/>
        <v>1511.3920551223289</v>
      </c>
      <c r="Q13" s="14">
        <f t="shared" si="3"/>
        <v>1330.7002415402765</v>
      </c>
      <c r="R13" s="59"/>
    </row>
    <row r="14" spans="1:18" s="2" customFormat="1" ht="28.5" customHeight="1" x14ac:dyDescent="0.2">
      <c r="A14" s="167" t="s">
        <v>60</v>
      </c>
      <c r="B14" s="4" t="s">
        <v>21</v>
      </c>
      <c r="C14" s="71">
        <f>'Linseed U'!B31</f>
        <v>262.85899999999998</v>
      </c>
      <c r="D14" s="71">
        <f>'Linseed U'!C31</f>
        <v>325.21600000000001</v>
      </c>
      <c r="E14" s="71">
        <f>'Linseed U'!D31</f>
        <v>326.18099999999998</v>
      </c>
      <c r="F14" s="71">
        <f>'Linseed U'!E31</f>
        <v>172.70599999999999</v>
      </c>
      <c r="G14" s="71">
        <f>'Linseed U'!F31</f>
        <v>179.90199999999996</v>
      </c>
      <c r="H14" s="71">
        <f>'Linseed U'!G31</f>
        <v>125.494392</v>
      </c>
      <c r="I14" s="71">
        <f>'Linseed U'!H31</f>
        <v>184.25</v>
      </c>
      <c r="J14" s="71">
        <f>'Linseed U'!I31</f>
        <v>173.75984999999997</v>
      </c>
      <c r="K14" s="71">
        <f>'Linseed U'!J31</f>
        <v>99.072289999999981</v>
      </c>
      <c r="L14" s="71">
        <f>'Linseed U'!K31</f>
        <v>120.66223899999999</v>
      </c>
      <c r="M14" s="14">
        <f t="shared" si="0"/>
        <v>477.4209443085457</v>
      </c>
      <c r="N14" s="14">
        <f t="shared" si="1"/>
        <v>566.54654137557804</v>
      </c>
      <c r="O14" s="14">
        <f t="shared" si="2"/>
        <v>532.70990646297605</v>
      </c>
      <c r="P14" s="14">
        <f t="shared" si="3"/>
        <v>573.6470649543154</v>
      </c>
      <c r="Q14" s="14">
        <f t="shared" si="3"/>
        <v>670.71093706573583</v>
      </c>
      <c r="R14" s="59"/>
    </row>
    <row r="15" spans="1:18" s="2" customFormat="1" ht="28.5" customHeight="1" x14ac:dyDescent="0.2">
      <c r="A15" s="167" t="s">
        <v>61</v>
      </c>
      <c r="B15" s="4" t="s">
        <v>21</v>
      </c>
      <c r="C15" s="71">
        <f>'Safflower U'!B19</f>
        <v>127.496</v>
      </c>
      <c r="D15" s="71">
        <f>'Safflower U'!C19</f>
        <v>144.27399999999997</v>
      </c>
      <c r="E15" s="71">
        <f>'Safflower U'!D19</f>
        <v>82.147999999999996</v>
      </c>
      <c r="F15" s="71">
        <f>'Safflower U'!E19</f>
        <v>45.888999999999996</v>
      </c>
      <c r="G15" s="71">
        <f>'Safflower U'!F19</f>
        <v>51.789000000000001</v>
      </c>
      <c r="H15" s="71">
        <f>'Safflower U'!G19</f>
        <v>52.99</v>
      </c>
      <c r="I15" s="71">
        <f>'Safflower U'!H19</f>
        <v>93.895999999999987</v>
      </c>
      <c r="J15" s="71">
        <f>'Safflower U'!I19</f>
        <v>55.280073999999999</v>
      </c>
      <c r="K15" s="71">
        <f>'Safflower U'!J19</f>
        <v>24.644083000000006</v>
      </c>
      <c r="L15" s="71">
        <f>'Safflower U'!K19</f>
        <v>43.667994</v>
      </c>
      <c r="M15" s="14">
        <f t="shared" si="0"/>
        <v>415.6208822237561</v>
      </c>
      <c r="N15" s="14">
        <f t="shared" si="1"/>
        <v>650.81719505940089</v>
      </c>
      <c r="O15" s="14">
        <f t="shared" si="2"/>
        <v>672.93268247553192</v>
      </c>
      <c r="P15" s="14">
        <f t="shared" si="3"/>
        <v>537.03682799799537</v>
      </c>
      <c r="Q15" s="14">
        <f t="shared" si="3"/>
        <v>843.19052308405264</v>
      </c>
      <c r="R15" s="59"/>
    </row>
    <row r="16" spans="1:18" s="2" customFormat="1" ht="28.5" customHeight="1" x14ac:dyDescent="0.2">
      <c r="A16" s="214" t="s">
        <v>62</v>
      </c>
      <c r="B16" s="4" t="s">
        <v>2</v>
      </c>
      <c r="C16" s="71">
        <f>'Sunflower U'!C52</f>
        <v>157.33000000000001</v>
      </c>
      <c r="D16" s="71">
        <f>'Sunflower U'!D52</f>
        <v>173.38399999999999</v>
      </c>
      <c r="E16" s="71">
        <f>'Sunflower U'!E52</f>
        <v>135.255</v>
      </c>
      <c r="F16" s="71">
        <f>'Sunflower U'!F52</f>
        <v>117.86699999999999</v>
      </c>
      <c r="G16" s="71">
        <f>'Sunflower U'!G52</f>
        <v>125.42999999999999</v>
      </c>
      <c r="H16" s="71">
        <f>'Sunflower U'!H52</f>
        <v>66.242400000000004</v>
      </c>
      <c r="I16" s="71">
        <f>'Sunflower U'!I52</f>
        <v>98.304000000000002</v>
      </c>
      <c r="J16" s="71">
        <f>'Sunflower U'!J52</f>
        <v>84.752076000000002</v>
      </c>
      <c r="K16" s="71">
        <f>'Sunflower U'!K52</f>
        <v>90.281942337726534</v>
      </c>
      <c r="L16" s="71">
        <f>'Sunflower U'!L52</f>
        <v>91.737895000000009</v>
      </c>
      <c r="M16" s="14">
        <f t="shared" si="0"/>
        <v>421.04112375262184</v>
      </c>
      <c r="N16" s="14">
        <f t="shared" si="1"/>
        <v>566.97273104784767</v>
      </c>
      <c r="O16" s="14">
        <f t="shared" si="2"/>
        <v>626.60955972052784</v>
      </c>
      <c r="P16" s="14">
        <f t="shared" si="3"/>
        <v>765.96453916470716</v>
      </c>
      <c r="Q16" s="14">
        <f t="shared" si="3"/>
        <v>731.38718807302894</v>
      </c>
      <c r="R16" s="59"/>
    </row>
    <row r="17" spans="1:18" s="2" customFormat="1" ht="28.5" customHeight="1" x14ac:dyDescent="0.2">
      <c r="A17" s="215"/>
      <c r="B17" s="4" t="s">
        <v>21</v>
      </c>
      <c r="C17" s="71">
        <f>'Sunflower U'!C53</f>
        <v>329.46100000000001</v>
      </c>
      <c r="D17" s="71">
        <f>'Sunflower U'!D53</f>
        <v>207.726</v>
      </c>
      <c r="E17" s="71">
        <f>'Sunflower U'!E53</f>
        <v>148.25</v>
      </c>
      <c r="F17" s="71">
        <f>'Sunflower U'!F53</f>
        <v>144.14099999999999</v>
      </c>
      <c r="G17" s="71">
        <f>'Sunflower U'!G53</f>
        <v>102.85399999999998</v>
      </c>
      <c r="H17" s="71">
        <f>'Sunflower U'!H53</f>
        <v>230.05425</v>
      </c>
      <c r="I17" s="71">
        <f>'Sunflower U'!I53</f>
        <v>153.08000000000001</v>
      </c>
      <c r="J17" s="71">
        <f>'Sunflower U'!J53</f>
        <v>136.91180199999999</v>
      </c>
      <c r="K17" s="71">
        <f>'Sunflower U'!K53</f>
        <v>126.00735299999999</v>
      </c>
      <c r="L17" s="71">
        <f>'Sunflower U'!L53</f>
        <v>120.79627799999999</v>
      </c>
      <c r="M17" s="14">
        <f t="shared" si="0"/>
        <v>698.27460609905268</v>
      </c>
      <c r="N17" s="14">
        <f t="shared" si="1"/>
        <v>736.93230505569841</v>
      </c>
      <c r="O17" s="14">
        <f t="shared" si="2"/>
        <v>923.51974367622256</v>
      </c>
      <c r="P17" s="14">
        <f t="shared" si="3"/>
        <v>874.19507981767856</v>
      </c>
      <c r="Q17" s="14">
        <f t="shared" si="3"/>
        <v>1174.4441441266263</v>
      </c>
      <c r="R17" s="59"/>
    </row>
    <row r="18" spans="1:18" s="18" customFormat="1" ht="28.5" customHeight="1" x14ac:dyDescent="0.2">
      <c r="A18" s="215"/>
      <c r="B18" s="165" t="s">
        <v>4</v>
      </c>
      <c r="C18" s="72">
        <f>'Sunflower U'!C54</f>
        <v>486.79100000000005</v>
      </c>
      <c r="D18" s="72">
        <f>'Sunflower U'!D54</f>
        <v>381.11</v>
      </c>
      <c r="E18" s="72">
        <f>'Sunflower U'!E54</f>
        <v>283.505</v>
      </c>
      <c r="F18" s="72">
        <f>'Sunflower U'!F54</f>
        <v>262.00799999999998</v>
      </c>
      <c r="G18" s="72">
        <f>'Sunflower U'!G54</f>
        <v>228.28399999999999</v>
      </c>
      <c r="H18" s="72">
        <f>'Sunflower U'!H54</f>
        <v>296.29665</v>
      </c>
      <c r="I18" s="72">
        <f>'Sunflower U'!I54</f>
        <v>251.38400000000001</v>
      </c>
      <c r="J18" s="72">
        <f>'Sunflower U'!J54</f>
        <v>221.66387800000001</v>
      </c>
      <c r="K18" s="72">
        <f>'Sunflower U'!K54</f>
        <v>216.28929533772651</v>
      </c>
      <c r="L18" s="72">
        <f>'Sunflower U'!L54</f>
        <v>212.53417300000001</v>
      </c>
      <c r="M18" s="64">
        <f t="shared" si="0"/>
        <v>608.67322937359143</v>
      </c>
      <c r="N18" s="64">
        <f t="shared" si="1"/>
        <v>659.61008632678227</v>
      </c>
      <c r="O18" s="64">
        <f t="shared" si="2"/>
        <v>781.8693779651154</v>
      </c>
      <c r="P18" s="64">
        <f t="shared" si="3"/>
        <v>825.50645529039775</v>
      </c>
      <c r="Q18" s="64">
        <f t="shared" si="3"/>
        <v>931.00774911951794</v>
      </c>
      <c r="R18" s="156"/>
    </row>
    <row r="19" spans="1:18" s="2" customFormat="1" ht="28.5" customHeight="1" x14ac:dyDescent="0.2">
      <c r="A19" s="167" t="s">
        <v>63</v>
      </c>
      <c r="B19" s="4" t="s">
        <v>2</v>
      </c>
      <c r="C19" s="72">
        <f>'Soyabean U'!B30</f>
        <v>11604.541000000005</v>
      </c>
      <c r="D19" s="72">
        <f>'Soyabean U'!C30</f>
        <v>11183.401000000002</v>
      </c>
      <c r="E19" s="72">
        <f>'Soyabean U'!D30</f>
        <v>10328.825299999997</v>
      </c>
      <c r="F19" s="72">
        <f>'Soyabean U'!E30</f>
        <v>11131.257</v>
      </c>
      <c r="G19" s="72">
        <f>'Soyabean U'!F30</f>
        <v>12192.707</v>
      </c>
      <c r="H19" s="72">
        <f>'Soyabean U'!G30</f>
        <v>8569.7946170000014</v>
      </c>
      <c r="I19" s="72">
        <f>'Soyabean U'!H30</f>
        <v>13158.729999999996</v>
      </c>
      <c r="J19" s="72">
        <f>'Soyabean U'!I30</f>
        <v>10932.972362000002</v>
      </c>
      <c r="K19" s="72">
        <f>'Soyabean U'!J30</f>
        <v>13267.518801</v>
      </c>
      <c r="L19" s="72">
        <f>'Soyabean U'!K30</f>
        <v>11225.853403000003</v>
      </c>
      <c r="M19" s="64">
        <f t="shared" si="0"/>
        <v>738.48630609345071</v>
      </c>
      <c r="N19" s="64">
        <f t="shared" si="1"/>
        <v>1176.6304364834984</v>
      </c>
      <c r="O19" s="64">
        <f t="shared" si="2"/>
        <v>1058.4913622268357</v>
      </c>
      <c r="P19" s="64">
        <f t="shared" si="3"/>
        <v>1191.915594168745</v>
      </c>
      <c r="Q19" s="64">
        <f t="shared" si="3"/>
        <v>920.70230204006396</v>
      </c>
      <c r="R19" s="156"/>
    </row>
    <row r="20" spans="1:18" s="58" customFormat="1" ht="28.5" customHeight="1" x14ac:dyDescent="0.2">
      <c r="A20" s="218" t="s">
        <v>64</v>
      </c>
      <c r="B20" s="4" t="s">
        <v>2</v>
      </c>
      <c r="C20" s="73">
        <f t="shared" ref="C20:J20" si="4">C26-C10</f>
        <v>17802.188000000006</v>
      </c>
      <c r="D20" s="73">
        <f t="shared" si="4"/>
        <v>17858.585999999999</v>
      </c>
      <c r="E20" s="73">
        <f t="shared" si="4"/>
        <v>16404.358929999995</v>
      </c>
      <c r="F20" s="73">
        <f>F26-F10</f>
        <v>16957.501400000001</v>
      </c>
      <c r="G20" s="73">
        <f>G26-G10</f>
        <v>18237.470999999998</v>
      </c>
      <c r="H20" s="73">
        <f t="shared" si="4"/>
        <v>14927.879817000005</v>
      </c>
      <c r="I20" s="73">
        <f t="shared" si="4"/>
        <v>20136.843349999996</v>
      </c>
      <c r="J20" s="73">
        <f t="shared" si="4"/>
        <v>19438.690205190003</v>
      </c>
      <c r="K20" s="73">
        <f>K26-K10</f>
        <v>19479.500345737724</v>
      </c>
      <c r="L20" s="73">
        <f>L26-L10</f>
        <v>20405.358628000002</v>
      </c>
      <c r="M20" s="14">
        <f t="shared" si="0"/>
        <v>838.54185884341859</v>
      </c>
      <c r="N20" s="14">
        <f t="shared" si="1"/>
        <v>1127.5721017330263</v>
      </c>
      <c r="O20" s="14">
        <f t="shared" si="2"/>
        <v>1184.9710365481506</v>
      </c>
      <c r="P20" s="14">
        <f t="shared" si="3"/>
        <v>1148.7246786096518</v>
      </c>
      <c r="Q20" s="14">
        <f t="shared" si="3"/>
        <v>1118.8699698549215</v>
      </c>
      <c r="R20" s="59"/>
    </row>
    <row r="21" spans="1:18" s="58" customFormat="1" ht="28.5" customHeight="1" x14ac:dyDescent="0.2">
      <c r="A21" s="218"/>
      <c r="B21" s="4" t="s">
        <v>21</v>
      </c>
      <c r="C21" s="73">
        <f t="shared" ref="C21:J21" si="5">C27-C14</f>
        <v>6960.9993000000004</v>
      </c>
      <c r="D21" s="73">
        <f t="shared" si="5"/>
        <v>7185.4024999999992</v>
      </c>
      <c r="E21" s="73">
        <f t="shared" si="5"/>
        <v>6953.2331000000004</v>
      </c>
      <c r="F21" s="73">
        <f>F27-F14</f>
        <v>6912.7797</v>
      </c>
      <c r="G21" s="73">
        <f>G27-G14</f>
        <v>7675.6220000000003</v>
      </c>
      <c r="H21" s="73">
        <f t="shared" si="5"/>
        <v>8445.5834999999988</v>
      </c>
      <c r="I21" s="73">
        <f t="shared" si="5"/>
        <v>9578.1018600000007</v>
      </c>
      <c r="J21" s="73">
        <f t="shared" si="5"/>
        <v>10279.248892000001</v>
      </c>
      <c r="K21" s="73">
        <f>K27-K14</f>
        <v>10746.513312758792</v>
      </c>
      <c r="L21" s="73">
        <f>L27-L14</f>
        <v>10851.173538365108</v>
      </c>
      <c r="M21" s="14">
        <f t="shared" si="0"/>
        <v>1213.2717065493741</v>
      </c>
      <c r="N21" s="14">
        <f t="shared" si="1"/>
        <v>1332.9944787365778</v>
      </c>
      <c r="O21" s="14">
        <f t="shared" si="2"/>
        <v>1478.3409018748416</v>
      </c>
      <c r="P21" s="14">
        <f t="shared" si="3"/>
        <v>1554.5864007150108</v>
      </c>
      <c r="Q21" s="14">
        <f t="shared" si="3"/>
        <v>1413.7191146678547</v>
      </c>
      <c r="R21" s="59"/>
    </row>
    <row r="22" spans="1:18" s="69" customFormat="1" ht="28.5" customHeight="1" x14ac:dyDescent="0.2">
      <c r="A22" s="218"/>
      <c r="B22" s="165" t="s">
        <v>4</v>
      </c>
      <c r="C22" s="74">
        <f t="shared" ref="C22:J22" si="6">C20+C21</f>
        <v>24763.187300000005</v>
      </c>
      <c r="D22" s="74">
        <f t="shared" si="6"/>
        <v>25043.988499999999</v>
      </c>
      <c r="E22" s="74">
        <f t="shared" si="6"/>
        <v>23357.592029999996</v>
      </c>
      <c r="F22" s="74">
        <f>F20+F21</f>
        <v>23870.2811</v>
      </c>
      <c r="G22" s="74">
        <f>G20+G21</f>
        <v>25913.092999999997</v>
      </c>
      <c r="H22" s="74">
        <f t="shared" si="6"/>
        <v>23373.463317000002</v>
      </c>
      <c r="I22" s="74">
        <f t="shared" si="6"/>
        <v>29714.945209999998</v>
      </c>
      <c r="J22" s="74">
        <f t="shared" si="6"/>
        <v>29717.939097190007</v>
      </c>
      <c r="K22" s="74">
        <f>K20+K21</f>
        <v>30226.013658496515</v>
      </c>
      <c r="L22" s="74">
        <f>L20+L21</f>
        <v>31256.532166365112</v>
      </c>
      <c r="M22" s="64">
        <f t="shared" si="0"/>
        <v>943.87943820947464</v>
      </c>
      <c r="N22" s="64">
        <f t="shared" si="1"/>
        <v>1186.5100964249364</v>
      </c>
      <c r="O22" s="64">
        <f t="shared" si="2"/>
        <v>1272.3032005619807</v>
      </c>
      <c r="P22" s="64">
        <f t="shared" si="3"/>
        <v>1266.2613201692257</v>
      </c>
      <c r="Q22" s="64">
        <f t="shared" si="3"/>
        <v>1206.2061509355567</v>
      </c>
      <c r="R22" s="156"/>
    </row>
    <row r="23" spans="1:18" s="58" customFormat="1" ht="28.5" customHeight="1" x14ac:dyDescent="0.2">
      <c r="A23" s="216" t="s">
        <v>65</v>
      </c>
      <c r="B23" s="4" t="s">
        <v>2</v>
      </c>
      <c r="C23" s="73">
        <f t="shared" ref="C23:J23" si="7">C10</f>
        <v>1060.729</v>
      </c>
      <c r="D23" s="73">
        <f t="shared" si="7"/>
        <v>807.91700000000003</v>
      </c>
      <c r="E23" s="73">
        <f t="shared" si="7"/>
        <v>824.12699999999995</v>
      </c>
      <c r="F23" s="73">
        <f>F10</f>
        <v>751.31700000000012</v>
      </c>
      <c r="G23" s="73">
        <f>G10</f>
        <v>1046.2919999999999</v>
      </c>
      <c r="H23" s="73">
        <f t="shared" si="7"/>
        <v>1751.8179999999998</v>
      </c>
      <c r="I23" s="73">
        <f t="shared" si="7"/>
        <v>1376.4209999999998</v>
      </c>
      <c r="J23" s="73">
        <f t="shared" si="7"/>
        <v>1567.5635920000004</v>
      </c>
      <c r="K23" s="73">
        <f>K10</f>
        <v>1196.6792399999999</v>
      </c>
      <c r="L23" s="73">
        <f>L10</f>
        <v>1842.0217390000005</v>
      </c>
      <c r="M23" s="14">
        <f t="shared" si="0"/>
        <v>1651.5226792140118</v>
      </c>
      <c r="N23" s="14">
        <f t="shared" si="1"/>
        <v>1703.6663419633448</v>
      </c>
      <c r="O23" s="14">
        <f t="shared" si="2"/>
        <v>1902.0898380953429</v>
      </c>
      <c r="P23" s="14">
        <f t="shared" si="3"/>
        <v>1592.7754063863852</v>
      </c>
      <c r="Q23" s="14">
        <f t="shared" si="3"/>
        <v>1760.5235813711665</v>
      </c>
      <c r="R23" s="59"/>
    </row>
    <row r="24" spans="1:18" s="58" customFormat="1" ht="28.5" customHeight="1" x14ac:dyDescent="0.2">
      <c r="A24" s="217"/>
      <c r="B24" s="4" t="s">
        <v>21</v>
      </c>
      <c r="C24" s="73">
        <f t="shared" ref="C24:J24" si="8">C14</f>
        <v>262.85899999999998</v>
      </c>
      <c r="D24" s="73">
        <f t="shared" si="8"/>
        <v>325.21600000000001</v>
      </c>
      <c r="E24" s="73">
        <f t="shared" si="8"/>
        <v>326.18099999999998</v>
      </c>
      <c r="F24" s="73">
        <f>F14</f>
        <v>172.70599999999999</v>
      </c>
      <c r="G24" s="73">
        <f>G14</f>
        <v>179.90199999999996</v>
      </c>
      <c r="H24" s="73">
        <f t="shared" si="8"/>
        <v>125.494392</v>
      </c>
      <c r="I24" s="73">
        <f t="shared" si="8"/>
        <v>184.25</v>
      </c>
      <c r="J24" s="73">
        <f t="shared" si="8"/>
        <v>173.75984999999997</v>
      </c>
      <c r="K24" s="73">
        <f>K14</f>
        <v>99.072289999999981</v>
      </c>
      <c r="L24" s="73">
        <f>L14</f>
        <v>120.66223899999999</v>
      </c>
      <c r="M24" s="14">
        <f t="shared" si="0"/>
        <v>477.4209443085457</v>
      </c>
      <c r="N24" s="14">
        <f t="shared" si="1"/>
        <v>566.54654137557804</v>
      </c>
      <c r="O24" s="14">
        <f t="shared" si="2"/>
        <v>532.70990646297605</v>
      </c>
      <c r="P24" s="14">
        <f t="shared" si="3"/>
        <v>573.6470649543154</v>
      </c>
      <c r="Q24" s="14">
        <f t="shared" si="3"/>
        <v>670.71093706573583</v>
      </c>
      <c r="R24" s="59"/>
    </row>
    <row r="25" spans="1:18" s="69" customFormat="1" ht="28.5" customHeight="1" x14ac:dyDescent="0.2">
      <c r="A25" s="217"/>
      <c r="B25" s="165" t="s">
        <v>4</v>
      </c>
      <c r="C25" s="74">
        <f t="shared" ref="C25:J25" si="9">C23+C24</f>
        <v>1323.588</v>
      </c>
      <c r="D25" s="74">
        <f t="shared" si="9"/>
        <v>1133.133</v>
      </c>
      <c r="E25" s="74">
        <f t="shared" si="9"/>
        <v>1150.308</v>
      </c>
      <c r="F25" s="74">
        <f>F23+F24</f>
        <v>924.02300000000014</v>
      </c>
      <c r="G25" s="74">
        <f>G23+G24</f>
        <v>1226.194</v>
      </c>
      <c r="H25" s="74">
        <f t="shared" si="9"/>
        <v>1877.3123919999998</v>
      </c>
      <c r="I25" s="74">
        <f t="shared" si="9"/>
        <v>1560.6709999999998</v>
      </c>
      <c r="J25" s="74">
        <f t="shared" si="9"/>
        <v>1741.3234420000003</v>
      </c>
      <c r="K25" s="74">
        <f>K23+K24</f>
        <v>1295.75153</v>
      </c>
      <c r="L25" s="74">
        <f>L23+L24</f>
        <v>1962.6839780000005</v>
      </c>
      <c r="M25" s="64">
        <f t="shared" si="0"/>
        <v>1418.3510216169987</v>
      </c>
      <c r="N25" s="64">
        <f t="shared" si="1"/>
        <v>1377.3061061675899</v>
      </c>
      <c r="O25" s="64">
        <f t="shared" si="2"/>
        <v>1513.7888652430481</v>
      </c>
      <c r="P25" s="64">
        <f t="shared" si="3"/>
        <v>1402.2935900946188</v>
      </c>
      <c r="Q25" s="64">
        <f t="shared" si="3"/>
        <v>1600.6308773326248</v>
      </c>
      <c r="R25" s="156"/>
    </row>
    <row r="26" spans="1:18" s="2" customFormat="1" ht="28.5" customHeight="1" x14ac:dyDescent="0.2">
      <c r="A26" s="216" t="s">
        <v>66</v>
      </c>
      <c r="B26" s="4" t="s">
        <v>2</v>
      </c>
      <c r="C26" s="71">
        <f>'Kh Oil U'!B39</f>
        <v>18862.917000000005</v>
      </c>
      <c r="D26" s="71">
        <f>'Kh Oil U'!C39</f>
        <v>18666.503000000001</v>
      </c>
      <c r="E26" s="71">
        <f>'Kh Oil U'!D39</f>
        <v>17228.485929999995</v>
      </c>
      <c r="F26" s="71">
        <f>'Kh Oil U'!E39</f>
        <v>17708.8184</v>
      </c>
      <c r="G26" s="71">
        <f>'Kh Oil U'!F39</f>
        <v>19283.762999999999</v>
      </c>
      <c r="H26" s="71">
        <f>'Kh Oil U'!G39</f>
        <v>16679.697817000004</v>
      </c>
      <c r="I26" s="71">
        <f>'Kh Oil U'!H39</f>
        <v>21513.264349999994</v>
      </c>
      <c r="J26" s="71">
        <f>'Kh Oil U'!I39</f>
        <v>21006.253797190002</v>
      </c>
      <c r="K26" s="71">
        <f>'Kh Oil U'!J39</f>
        <v>20676.179585737726</v>
      </c>
      <c r="L26" s="71">
        <f>'Kh Oil U'!K39</f>
        <v>22247.380367000002</v>
      </c>
      <c r="M26" s="14">
        <f t="shared" si="0"/>
        <v>884.25866566660932</v>
      </c>
      <c r="N26" s="14">
        <f t="shared" si="1"/>
        <v>1152.50640947584</v>
      </c>
      <c r="O26" s="14">
        <f t="shared" si="2"/>
        <v>1219.2745132996145</v>
      </c>
      <c r="P26" s="14">
        <f t="shared" si="3"/>
        <v>1167.5640417509576</v>
      </c>
      <c r="Q26" s="14">
        <f t="shared" si="3"/>
        <v>1153.6845981253764</v>
      </c>
      <c r="R26" s="59"/>
    </row>
    <row r="27" spans="1:18" s="2" customFormat="1" ht="28.5" customHeight="1" x14ac:dyDescent="0.2">
      <c r="A27" s="217"/>
      <c r="B27" s="4" t="s">
        <v>21</v>
      </c>
      <c r="C27" s="73">
        <f>'Rb Oil  U'!B40</f>
        <v>7223.8583000000008</v>
      </c>
      <c r="D27" s="73">
        <f>'Rb Oil  U'!C40</f>
        <v>7510.6184999999996</v>
      </c>
      <c r="E27" s="73">
        <f>'Rb Oil  U'!D40</f>
        <v>7279.4141</v>
      </c>
      <c r="F27" s="73">
        <f>'Rb Oil  U'!E40</f>
        <v>7085.4857000000002</v>
      </c>
      <c r="G27" s="73">
        <f>'Rb Oil  U'!F40</f>
        <v>7855.5240000000003</v>
      </c>
      <c r="H27" s="73">
        <f>'Rb Oil  U'!G40</f>
        <v>8571.0778919999993</v>
      </c>
      <c r="I27" s="73">
        <f>'Rb Oil  U'!H40</f>
        <v>9762.3518600000007</v>
      </c>
      <c r="J27" s="73">
        <f>'Rb Oil  U'!I40</f>
        <v>10453.008742000002</v>
      </c>
      <c r="K27" s="73">
        <f>'Rb Oil  U'!J40</f>
        <v>10845.585602758792</v>
      </c>
      <c r="L27" s="73">
        <f>'Rb Oil  U'!K40</f>
        <v>10971.835777365108</v>
      </c>
      <c r="M27" s="14">
        <f t="shared" si="0"/>
        <v>1186.4958497317143</v>
      </c>
      <c r="N27" s="14">
        <f t="shared" si="1"/>
        <v>1299.8066484138424</v>
      </c>
      <c r="O27" s="14">
        <f t="shared" si="2"/>
        <v>1435.9684170186172</v>
      </c>
      <c r="P27" s="14">
        <f t="shared" si="3"/>
        <v>1530.6763801328104</v>
      </c>
      <c r="Q27" s="14">
        <f t="shared" si="3"/>
        <v>1396.7032342292007</v>
      </c>
      <c r="R27" s="59"/>
    </row>
    <row r="28" spans="1:18" s="18" customFormat="1" ht="28.5" customHeight="1" x14ac:dyDescent="0.2">
      <c r="A28" s="217"/>
      <c r="B28" s="165" t="s">
        <v>4</v>
      </c>
      <c r="C28" s="74">
        <f>'Tot Oil U'!B40</f>
        <v>26086.775300000005</v>
      </c>
      <c r="D28" s="74">
        <f>'Tot Oil U'!C40</f>
        <v>26177.121500000001</v>
      </c>
      <c r="E28" s="74">
        <f>'Tot Oil U'!D40</f>
        <v>24507.900029999997</v>
      </c>
      <c r="F28" s="74">
        <f>'Tot Oil U'!E40</f>
        <v>24794.304100000001</v>
      </c>
      <c r="G28" s="74">
        <f>'Tot Oil U'!F40</f>
        <v>27139.288</v>
      </c>
      <c r="H28" s="74">
        <f>'Tot Oil U'!G40</f>
        <v>25250.775709000001</v>
      </c>
      <c r="I28" s="74">
        <f>'Tot Oil U'!H40</f>
        <v>31275.616209999993</v>
      </c>
      <c r="J28" s="74">
        <f>'Tot Oil U'!I40</f>
        <v>31459.262539190004</v>
      </c>
      <c r="K28" s="74">
        <f>'Tot Oil U'!J40</f>
        <v>31521.765188496516</v>
      </c>
      <c r="L28" s="74">
        <f>'Tot Oil U'!K40</f>
        <v>33219.216144365113</v>
      </c>
      <c r="M28" s="64">
        <f t="shared" si="0"/>
        <v>967.95312638737676</v>
      </c>
      <c r="N28" s="64">
        <f t="shared" si="1"/>
        <v>1194.7691120278444</v>
      </c>
      <c r="O28" s="64">
        <f t="shared" si="2"/>
        <v>1283.6376229983343</v>
      </c>
      <c r="P28" s="64">
        <f t="shared" si="3"/>
        <v>1271.3309097671554</v>
      </c>
      <c r="Q28" s="64">
        <f t="shared" si="3"/>
        <v>1224.0268110336983</v>
      </c>
      <c r="R28" s="156"/>
    </row>
    <row r="29" spans="1:18" s="18" customFormat="1" ht="28.5" customHeight="1" x14ac:dyDescent="0.2">
      <c r="A29" s="167" t="s">
        <v>88</v>
      </c>
      <c r="B29" s="165" t="s">
        <v>4</v>
      </c>
      <c r="C29" s="74">
        <f>'Sugarcane '!B38</f>
        <v>4927.1233500000008</v>
      </c>
      <c r="D29" s="74">
        <f>'Sugarcane '!C38</f>
        <v>4435.6900000000005</v>
      </c>
      <c r="E29" s="74">
        <f>'Sugarcane '!D38</f>
        <v>4737.0632999999989</v>
      </c>
      <c r="F29" s="74">
        <f>'Sugarcane '!E38</f>
        <v>5061.091089999999</v>
      </c>
      <c r="G29" s="74">
        <f>'Sugarcane '!F38</f>
        <v>4602.6757999999991</v>
      </c>
      <c r="H29" s="74">
        <f>'Sugarcane '!G38</f>
        <v>348448.39547700004</v>
      </c>
      <c r="I29" s="74">
        <f>'Sugarcane '!H38</f>
        <v>306069</v>
      </c>
      <c r="J29" s="74">
        <f>'Sugarcane '!I38</f>
        <v>379904.8516995</v>
      </c>
      <c r="K29" s="74">
        <f>'Sugarcane '!J38</f>
        <v>405416.18242900004</v>
      </c>
      <c r="L29" s="74">
        <f>'Sugarcane '!K38</f>
        <v>370500.30408439989</v>
      </c>
      <c r="M29" s="64">
        <f t="shared" si="0"/>
        <v>70720.453036151419</v>
      </c>
      <c r="N29" s="64">
        <f t="shared" si="1"/>
        <v>69001.440587597419</v>
      </c>
      <c r="O29" s="64">
        <f t="shared" si="2"/>
        <v>80198.390361281447</v>
      </c>
      <c r="P29" s="64">
        <f t="shared" si="3"/>
        <v>80104.502214956214</v>
      </c>
      <c r="Q29" s="64">
        <f t="shared" si="3"/>
        <v>80496.719774266952</v>
      </c>
      <c r="R29" s="156"/>
    </row>
    <row r="30" spans="1:18" s="18" customFormat="1" ht="28.5" customHeight="1" x14ac:dyDescent="0.2">
      <c r="A30" s="167" t="s">
        <v>132</v>
      </c>
      <c r="B30" s="165" t="s">
        <v>4</v>
      </c>
      <c r="C30" s="74">
        <f>'Cotton '!B30</f>
        <v>12292</v>
      </c>
      <c r="D30" s="74">
        <f>'Cotton '!C30</f>
        <v>10826.4</v>
      </c>
      <c r="E30" s="74">
        <f>'Cotton '!D30</f>
        <v>12586</v>
      </c>
      <c r="F30" s="74">
        <f>'Cotton '!E30</f>
        <v>12614</v>
      </c>
      <c r="G30" s="74">
        <f>'Cotton '!F30</f>
        <v>13477</v>
      </c>
      <c r="H30" s="74">
        <f>'Cotton '!G30</f>
        <v>30005</v>
      </c>
      <c r="I30" s="74">
        <f>'Cotton '!H30</f>
        <v>32577.405882352945</v>
      </c>
      <c r="J30" s="74">
        <f>'Cotton '!I30</f>
        <v>32805</v>
      </c>
      <c r="K30" s="74">
        <f>'Cotton '!J30</f>
        <v>28042</v>
      </c>
      <c r="L30" s="74">
        <f>'Cotton '!K30</f>
        <v>36065</v>
      </c>
      <c r="M30" s="64">
        <f>H30/C30*170</f>
        <v>414.9731532704198</v>
      </c>
      <c r="N30" s="64">
        <f>I30/D30*170</f>
        <v>511.54206384393711</v>
      </c>
      <c r="O30" s="64">
        <f>J30/E30*170</f>
        <v>443.09947560781819</v>
      </c>
      <c r="P30" s="64">
        <f>K30/F30*170</f>
        <v>377.92452830188677</v>
      </c>
      <c r="Q30" s="64">
        <f>L30/G30*170</f>
        <v>454.92691251762267</v>
      </c>
      <c r="R30" s="156"/>
    </row>
    <row r="31" spans="1:18" s="2" customFormat="1" ht="28.5" customHeight="1" x14ac:dyDescent="0.2">
      <c r="A31" s="167" t="s">
        <v>131</v>
      </c>
      <c r="B31" s="4" t="s">
        <v>4</v>
      </c>
      <c r="C31" s="73">
        <f>'Jute '!B15</f>
        <v>728.30600000000004</v>
      </c>
      <c r="D31" s="73">
        <f>'Jute '!C15</f>
        <v>706.06999999999994</v>
      </c>
      <c r="E31" s="73">
        <f>'Jute '!D15</f>
        <v>685.75200000000007</v>
      </c>
      <c r="F31" s="73">
        <f>'Jute '!E15</f>
        <v>665.29600000000005</v>
      </c>
      <c r="G31" s="73">
        <f>'Jute '!F15</f>
        <v>628.39300000000003</v>
      </c>
      <c r="H31" s="73">
        <f>'Jute '!G15</f>
        <v>9940.223</v>
      </c>
      <c r="I31" s="73">
        <f>'Jute '!H15</f>
        <v>10432.254000000001</v>
      </c>
      <c r="J31" s="73">
        <f>'Jute '!I15</f>
        <v>9590.8952055555546</v>
      </c>
      <c r="K31" s="73">
        <f>'Jute '!J15</f>
        <v>9496.7173333261198</v>
      </c>
      <c r="L31" s="73">
        <f>'Jute '!K15</f>
        <v>9445.7875888888884</v>
      </c>
      <c r="M31" s="14">
        <f t="shared" ref="M31:Q33" si="10">H31/C31*180</f>
        <v>2456.7148149266927</v>
      </c>
      <c r="N31" s="14">
        <f t="shared" si="10"/>
        <v>2659.5177815230791</v>
      </c>
      <c r="O31" s="14">
        <f t="shared" si="10"/>
        <v>2517.4715305241539</v>
      </c>
      <c r="P31" s="14">
        <f t="shared" si="10"/>
        <v>2569.3963589119749</v>
      </c>
      <c r="Q31" s="14">
        <f t="shared" si="10"/>
        <v>2705.6981315832604</v>
      </c>
      <c r="R31" s="59"/>
    </row>
    <row r="32" spans="1:18" s="2" customFormat="1" ht="28.5" customHeight="1" x14ac:dyDescent="0.2">
      <c r="A32" s="167" t="s">
        <v>133</v>
      </c>
      <c r="B32" s="4" t="s">
        <v>4</v>
      </c>
      <c r="C32" s="73">
        <f>'Mesta U'!B22</f>
        <v>53.994999999999997</v>
      </c>
      <c r="D32" s="73">
        <f>'Mesta U'!C22</f>
        <v>57.34</v>
      </c>
      <c r="E32" s="73">
        <f>'Mesta U'!D22</f>
        <v>56.018999999999991</v>
      </c>
      <c r="F32" s="73">
        <f>'Mesta U'!E22</f>
        <v>39.518999999999998</v>
      </c>
      <c r="G32" s="73">
        <f>'Mesta U'!F22</f>
        <v>44.881999999999998</v>
      </c>
      <c r="H32" s="73">
        <f>'Mesta U'!G22</f>
        <v>583.35799999999995</v>
      </c>
      <c r="I32" s="73">
        <f>'Mesta U'!H22</f>
        <v>530.14599999999996</v>
      </c>
      <c r="J32" s="73">
        <f>'Mesta U'!I22</f>
        <v>442.04366111111119</v>
      </c>
      <c r="K32" s="73">
        <f>'Mesta U'!J22</f>
        <v>322.98562777777778</v>
      </c>
      <c r="L32" s="73">
        <f>'Mesta U'!K22</f>
        <v>430.97619444444445</v>
      </c>
      <c r="M32" s="14">
        <f t="shared" si="10"/>
        <v>1944.7067321048246</v>
      </c>
      <c r="N32" s="14">
        <f t="shared" si="10"/>
        <v>1664.2183467038715</v>
      </c>
      <c r="O32" s="14">
        <f t="shared" si="10"/>
        <v>1420.3727128295761</v>
      </c>
      <c r="P32" s="14">
        <f t="shared" si="10"/>
        <v>1471.1256104658519</v>
      </c>
      <c r="Q32" s="14">
        <f t="shared" si="10"/>
        <v>1728.4371240140813</v>
      </c>
      <c r="R32" s="59"/>
    </row>
    <row r="33" spans="1:18" s="2" customFormat="1" ht="28.5" customHeight="1" x14ac:dyDescent="0.2">
      <c r="A33" s="167" t="s">
        <v>134</v>
      </c>
      <c r="B33" s="165" t="s">
        <v>4</v>
      </c>
      <c r="C33" s="74">
        <f>'J &amp; M '!B23</f>
        <v>782.30100000000004</v>
      </c>
      <c r="D33" s="74">
        <f>'J &amp; M '!C23</f>
        <v>763.41</v>
      </c>
      <c r="E33" s="74">
        <f>'J &amp; M '!D23</f>
        <v>741.77100000000007</v>
      </c>
      <c r="F33" s="74">
        <f>'J &amp; M '!E23</f>
        <v>704.81500000000005</v>
      </c>
      <c r="G33" s="74">
        <f>'J &amp; M '!F23</f>
        <v>673.27499999999998</v>
      </c>
      <c r="H33" s="74">
        <f>'J &amp; M '!G23</f>
        <v>10523.581</v>
      </c>
      <c r="I33" s="74">
        <f>'J &amp; M '!H23</f>
        <v>10962.400000000001</v>
      </c>
      <c r="J33" s="74">
        <f>'J &amp; M '!I23</f>
        <v>10032.938866666665</v>
      </c>
      <c r="K33" s="74">
        <f>'J &amp; M '!J23</f>
        <v>9819.7029611038979</v>
      </c>
      <c r="L33" s="74">
        <f>'J &amp; M '!K23</f>
        <v>9876.763783333332</v>
      </c>
      <c r="M33" s="64">
        <f t="shared" si="10"/>
        <v>2421.3756341868411</v>
      </c>
      <c r="N33" s="64">
        <f t="shared" si="10"/>
        <v>2584.7604825716198</v>
      </c>
      <c r="O33" s="64">
        <f t="shared" si="10"/>
        <v>2434.6179562155971</v>
      </c>
      <c r="P33" s="64">
        <f t="shared" si="10"/>
        <v>2507.816282284999</v>
      </c>
      <c r="Q33" s="64">
        <f t="shared" si="10"/>
        <v>2640.5517522557643</v>
      </c>
      <c r="R33" s="156"/>
    </row>
    <row r="34" spans="1:18" s="2" customFormat="1" ht="13.5" customHeight="1" x14ac:dyDescent="0.2">
      <c r="A34" s="96" t="s">
        <v>89</v>
      </c>
      <c r="B34" s="3"/>
      <c r="C34" s="11"/>
      <c r="D34" s="11"/>
      <c r="E34" s="11"/>
      <c r="F34" s="11"/>
      <c r="G34" s="11"/>
      <c r="H34" s="44"/>
      <c r="I34" s="44"/>
      <c r="J34" s="44"/>
      <c r="K34" s="44"/>
      <c r="L34" s="44"/>
    </row>
    <row r="35" spans="1:18" ht="13.5" customHeight="1" x14ac:dyDescent="0.2">
      <c r="A35" s="1" t="s">
        <v>90</v>
      </c>
    </row>
    <row r="37" spans="1:18" x14ac:dyDescent="0.2">
      <c r="A37" s="38"/>
    </row>
    <row r="38" spans="1:18" x14ac:dyDescent="0.2"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8" x14ac:dyDescent="0.2"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8" x14ac:dyDescent="0.2"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8" x14ac:dyDescent="0.2"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8" x14ac:dyDescent="0.2"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8" x14ac:dyDescent="0.2"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8" x14ac:dyDescent="0.2"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8" x14ac:dyDescent="0.2"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8" x14ac:dyDescent="0.2"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8" x14ac:dyDescent="0.2">
      <c r="C47" s="57"/>
      <c r="D47" s="57"/>
      <c r="E47" s="57"/>
      <c r="F47" s="57"/>
      <c r="G47" s="57"/>
      <c r="H47" s="57"/>
      <c r="I47" s="57"/>
      <c r="J47" s="57"/>
      <c r="K47" s="57"/>
      <c r="L47" s="57"/>
    </row>
  </sheetData>
  <mergeCells count="11">
    <mergeCell ref="A7:A9"/>
    <mergeCell ref="A16:A18"/>
    <mergeCell ref="A26:A28"/>
    <mergeCell ref="A23:A25"/>
    <mergeCell ref="A20:A22"/>
    <mergeCell ref="A5:A6"/>
    <mergeCell ref="B5:B6"/>
    <mergeCell ref="A3:N3"/>
    <mergeCell ref="C5:G5"/>
    <mergeCell ref="M5:Q5"/>
    <mergeCell ref="H5:L5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5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R22"/>
  <sheetViews>
    <sheetView view="pageBreakPreview" zoomScale="60" zoomScaleNormal="60" workbookViewId="0">
      <pane xSplit="1" ySplit="6" topLeftCell="B14" activePane="bottomRight" state="frozen"/>
      <selection pane="topRight"/>
      <selection pane="bottomLeft"/>
      <selection pane="bottomRight" activeCell="K21" sqref="B21:K22"/>
    </sheetView>
  </sheetViews>
  <sheetFormatPr defaultRowHeight="15" x14ac:dyDescent="0.2"/>
  <cols>
    <col min="1" max="1" width="26.140625" style="2" customWidth="1"/>
    <col min="2" max="11" width="12.5703125" style="9" customWidth="1"/>
    <col min="12" max="16" width="12.5703125" style="2" customWidth="1"/>
    <col min="17" max="18" width="12.5703125" style="11" customWidth="1"/>
    <col min="19" max="16384" width="9.140625" style="2"/>
  </cols>
  <sheetData>
    <row r="3" spans="1:18" ht="18" x14ac:dyDescent="0.2">
      <c r="A3" s="229" t="s">
        <v>119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8" x14ac:dyDescent="0.2">
      <c r="A4" s="8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8" ht="33.75" customHeight="1" x14ac:dyDescent="0.2">
      <c r="A5" s="209" t="s">
        <v>140</v>
      </c>
      <c r="B5" s="213" t="s">
        <v>114</v>
      </c>
      <c r="C5" s="213"/>
      <c r="D5" s="213"/>
      <c r="E5" s="213"/>
      <c r="F5" s="213"/>
      <c r="G5" s="213" t="s">
        <v>81</v>
      </c>
      <c r="H5" s="213"/>
      <c r="I5" s="213"/>
      <c r="J5" s="213"/>
      <c r="K5" s="213"/>
      <c r="L5" s="213" t="s">
        <v>78</v>
      </c>
      <c r="M5" s="213"/>
      <c r="N5" s="213"/>
      <c r="O5" s="213"/>
      <c r="P5" s="213"/>
      <c r="Q5" s="108"/>
      <c r="R5" s="108"/>
    </row>
    <row r="6" spans="1:18" s="9" customFormat="1" ht="42.75" customHeight="1" x14ac:dyDescent="0.2">
      <c r="A6" s="209"/>
      <c r="B6" s="99" t="s">
        <v>107</v>
      </c>
      <c r="C6" s="99" t="s">
        <v>108</v>
      </c>
      <c r="D6" s="169" t="s">
        <v>111</v>
      </c>
      <c r="E6" s="169" t="s">
        <v>138</v>
      </c>
      <c r="F6" s="169" t="s">
        <v>141</v>
      </c>
      <c r="G6" s="99" t="s">
        <v>107</v>
      </c>
      <c r="H6" s="99" t="s">
        <v>108</v>
      </c>
      <c r="I6" s="169" t="s">
        <v>111</v>
      </c>
      <c r="J6" s="169" t="s">
        <v>138</v>
      </c>
      <c r="K6" s="169" t="s">
        <v>141</v>
      </c>
      <c r="L6" s="99" t="s">
        <v>107</v>
      </c>
      <c r="M6" s="99" t="s">
        <v>108</v>
      </c>
      <c r="N6" s="169" t="s">
        <v>111</v>
      </c>
      <c r="O6" s="169" t="s">
        <v>138</v>
      </c>
      <c r="P6" s="169" t="s">
        <v>141</v>
      </c>
      <c r="Q6" s="108"/>
      <c r="R6" s="108"/>
    </row>
    <row r="7" spans="1:18" ht="45" customHeight="1" x14ac:dyDescent="0.2">
      <c r="A7" s="174" t="s">
        <v>1</v>
      </c>
      <c r="B7" s="63">
        <v>0</v>
      </c>
      <c r="C7" s="63">
        <v>0</v>
      </c>
      <c r="D7" s="78">
        <v>0</v>
      </c>
      <c r="E7" s="78">
        <v>0</v>
      </c>
      <c r="F7" s="78">
        <v>1</v>
      </c>
      <c r="G7" s="63">
        <v>0</v>
      </c>
      <c r="H7" s="63">
        <v>0</v>
      </c>
      <c r="I7" s="78">
        <v>0</v>
      </c>
      <c r="J7" s="78">
        <v>0</v>
      </c>
      <c r="K7" s="78">
        <v>0.49</v>
      </c>
      <c r="L7" s="83" t="e">
        <f t="shared" ref="L7:L19" si="0">G7/B7*1000</f>
        <v>#DIV/0!</v>
      </c>
      <c r="M7" s="83" t="e">
        <f t="shared" ref="M7:M19" si="1">H7/C7*1000</f>
        <v>#DIV/0!</v>
      </c>
      <c r="N7" s="83" t="e">
        <f t="shared" ref="N7:N19" si="2">I7/D7*1000</f>
        <v>#DIV/0!</v>
      </c>
      <c r="O7" s="83" t="e">
        <f t="shared" ref="O7:P19" si="3">J7/E7*1000</f>
        <v>#DIV/0!</v>
      </c>
      <c r="P7" s="83">
        <f t="shared" si="3"/>
        <v>490</v>
      </c>
      <c r="Q7" s="139"/>
      <c r="R7" s="139"/>
    </row>
    <row r="8" spans="1:18" ht="45" customHeight="1" x14ac:dyDescent="0.2">
      <c r="A8" s="174" t="s">
        <v>32</v>
      </c>
      <c r="B8" s="63">
        <v>0</v>
      </c>
      <c r="C8" s="78">
        <v>0.28499999999999998</v>
      </c>
      <c r="D8" s="78">
        <v>0.29399999999999998</v>
      </c>
      <c r="E8" s="78">
        <v>0</v>
      </c>
      <c r="F8" s="78">
        <v>0.29499999999999998</v>
      </c>
      <c r="G8" s="63">
        <v>0</v>
      </c>
      <c r="H8" s="78">
        <v>0.28000000000000003</v>
      </c>
      <c r="I8" s="78">
        <v>0.28606200000000004</v>
      </c>
      <c r="J8" s="78">
        <v>0</v>
      </c>
      <c r="K8" s="78">
        <v>0.28703499999999998</v>
      </c>
      <c r="L8" s="83" t="e">
        <f t="shared" si="0"/>
        <v>#DIV/0!</v>
      </c>
      <c r="M8" s="83">
        <f t="shared" si="1"/>
        <v>982.45614035087738</v>
      </c>
      <c r="N8" s="83">
        <f t="shared" si="2"/>
        <v>973.00000000000023</v>
      </c>
      <c r="O8" s="83" t="e">
        <f t="shared" si="3"/>
        <v>#DIV/0!</v>
      </c>
      <c r="P8" s="83">
        <f t="shared" si="3"/>
        <v>973</v>
      </c>
      <c r="Q8" s="139"/>
      <c r="R8" s="139"/>
    </row>
    <row r="9" spans="1:18" ht="45" customHeight="1" x14ac:dyDescent="0.2">
      <c r="A9" s="174" t="s">
        <v>46</v>
      </c>
      <c r="B9" s="78">
        <v>0.106</v>
      </c>
      <c r="C9" s="78">
        <v>0.107</v>
      </c>
      <c r="D9" s="78">
        <v>9.9000000000000005E-2</v>
      </c>
      <c r="E9" s="78">
        <v>8.7999999999999995E-2</v>
      </c>
      <c r="F9" s="78">
        <v>8.5000000000000006E-2</v>
      </c>
      <c r="G9" s="78">
        <v>8.5000000000000006E-2</v>
      </c>
      <c r="H9" s="78">
        <v>8.6999999999999994E-2</v>
      </c>
      <c r="I9" s="78">
        <v>8.0981999999999998E-2</v>
      </c>
      <c r="J9" s="78">
        <v>7.1368000000000001E-2</v>
      </c>
      <c r="K9" s="78">
        <v>6.9020000000000012E-2</v>
      </c>
      <c r="L9" s="83">
        <f t="shared" si="0"/>
        <v>801.88679245283026</v>
      </c>
      <c r="M9" s="83">
        <f t="shared" si="1"/>
        <v>813.08411214953264</v>
      </c>
      <c r="N9" s="83">
        <f t="shared" si="2"/>
        <v>818</v>
      </c>
      <c r="O9" s="83">
        <f t="shared" si="3"/>
        <v>811</v>
      </c>
      <c r="P9" s="83">
        <f t="shared" si="3"/>
        <v>812</v>
      </c>
      <c r="Q9" s="139"/>
      <c r="R9" s="139"/>
    </row>
    <row r="10" spans="1:18" ht="45" customHeight="1" x14ac:dyDescent="0.2">
      <c r="A10" s="174" t="s">
        <v>6</v>
      </c>
      <c r="B10" s="78">
        <v>1</v>
      </c>
      <c r="C10" s="78">
        <v>0.7</v>
      </c>
      <c r="D10" s="78">
        <v>0.34</v>
      </c>
      <c r="E10" s="78">
        <v>0.27</v>
      </c>
      <c r="F10" s="78">
        <v>0.19</v>
      </c>
      <c r="G10" s="78">
        <v>0.3</v>
      </c>
      <c r="H10" s="78">
        <v>0.2</v>
      </c>
      <c r="I10" s="78">
        <v>0.10098</v>
      </c>
      <c r="J10" s="78">
        <v>0.10962000000000001</v>
      </c>
      <c r="K10" s="78">
        <v>7.7710000000000001E-2</v>
      </c>
      <c r="L10" s="83">
        <f t="shared" si="0"/>
        <v>300</v>
      </c>
      <c r="M10" s="83">
        <f t="shared" si="1"/>
        <v>285.71428571428578</v>
      </c>
      <c r="N10" s="83">
        <f t="shared" si="2"/>
        <v>297</v>
      </c>
      <c r="O10" s="83">
        <f t="shared" si="3"/>
        <v>406</v>
      </c>
      <c r="P10" s="83">
        <f t="shared" si="3"/>
        <v>409</v>
      </c>
      <c r="Q10" s="139"/>
      <c r="R10" s="139"/>
    </row>
    <row r="11" spans="1:18" ht="45" hidden="1" customHeight="1" x14ac:dyDescent="0.2">
      <c r="A11" s="174" t="s">
        <v>8</v>
      </c>
      <c r="B11" s="63">
        <v>0</v>
      </c>
      <c r="C11" s="63">
        <v>0</v>
      </c>
      <c r="D11" s="78">
        <v>0</v>
      </c>
      <c r="E11" s="78"/>
      <c r="F11" s="78"/>
      <c r="G11" s="63">
        <v>0</v>
      </c>
      <c r="H11" s="63">
        <v>0</v>
      </c>
      <c r="I11" s="78">
        <v>0</v>
      </c>
      <c r="J11" s="78">
        <v>0</v>
      </c>
      <c r="K11" s="78"/>
      <c r="L11" s="83" t="e">
        <f t="shared" si="0"/>
        <v>#DIV/0!</v>
      </c>
      <c r="M11" s="83" t="e">
        <f t="shared" si="1"/>
        <v>#DIV/0!</v>
      </c>
      <c r="N11" s="83" t="e">
        <f t="shared" si="2"/>
        <v>#DIV/0!</v>
      </c>
      <c r="O11" s="83" t="e">
        <f t="shared" si="3"/>
        <v>#DIV/0!</v>
      </c>
      <c r="P11" s="83" t="e">
        <f t="shared" si="3"/>
        <v>#DIV/0!</v>
      </c>
      <c r="Q11" s="139"/>
      <c r="R11" s="139"/>
    </row>
    <row r="12" spans="1:18" ht="45" customHeight="1" x14ac:dyDescent="0.2">
      <c r="A12" s="174" t="s">
        <v>50</v>
      </c>
      <c r="B12" s="63">
        <v>0</v>
      </c>
      <c r="C12" s="78">
        <v>0.53400000000000003</v>
      </c>
      <c r="D12" s="78">
        <v>2.0049999999999999</v>
      </c>
      <c r="E12" s="78">
        <v>0.77500000000000002</v>
      </c>
      <c r="F12" s="78">
        <v>0.31900000000000001</v>
      </c>
      <c r="G12" s="63">
        <v>0</v>
      </c>
      <c r="H12" s="78">
        <v>0.28000000000000003</v>
      </c>
      <c r="I12" s="78">
        <v>1.11077</v>
      </c>
      <c r="J12" s="78">
        <v>0.45182499999999998</v>
      </c>
      <c r="K12" s="78">
        <v>0.15662899999999999</v>
      </c>
      <c r="L12" s="83" t="e">
        <f t="shared" si="0"/>
        <v>#DIV/0!</v>
      </c>
      <c r="M12" s="83">
        <f t="shared" si="1"/>
        <v>524.34456928838961</v>
      </c>
      <c r="N12" s="83">
        <f t="shared" si="2"/>
        <v>554</v>
      </c>
      <c r="O12" s="83">
        <f t="shared" si="3"/>
        <v>583</v>
      </c>
      <c r="P12" s="83">
        <f t="shared" si="3"/>
        <v>490.99999999999994</v>
      </c>
      <c r="Q12" s="139"/>
      <c r="R12" s="139"/>
    </row>
    <row r="13" spans="1:18" ht="45" customHeight="1" x14ac:dyDescent="0.2">
      <c r="A13" s="174" t="s">
        <v>11</v>
      </c>
      <c r="B13" s="78">
        <v>54</v>
      </c>
      <c r="C13" s="78">
        <v>32</v>
      </c>
      <c r="D13" s="78">
        <v>34</v>
      </c>
      <c r="E13" s="78">
        <v>16.149999999999999</v>
      </c>
      <c r="F13" s="78">
        <v>26</v>
      </c>
      <c r="G13" s="78">
        <v>30.375</v>
      </c>
      <c r="H13" s="78">
        <v>22</v>
      </c>
      <c r="I13" s="78">
        <v>27.812000000000001</v>
      </c>
      <c r="J13" s="78">
        <v>9.9645499999999991</v>
      </c>
      <c r="K13" s="78">
        <v>25.271999999999998</v>
      </c>
      <c r="L13" s="83">
        <f t="shared" si="0"/>
        <v>562.5</v>
      </c>
      <c r="M13" s="83">
        <f t="shared" si="1"/>
        <v>687.5</v>
      </c>
      <c r="N13" s="83">
        <f t="shared" si="2"/>
        <v>818.00000000000011</v>
      </c>
      <c r="O13" s="83">
        <f t="shared" si="3"/>
        <v>617</v>
      </c>
      <c r="P13" s="83">
        <f t="shared" si="3"/>
        <v>972</v>
      </c>
      <c r="Q13" s="139"/>
      <c r="R13" s="139"/>
    </row>
    <row r="14" spans="1:18" ht="45" customHeight="1" x14ac:dyDescent="0.2">
      <c r="A14" s="174" t="s">
        <v>13</v>
      </c>
      <c r="B14" s="78">
        <v>10</v>
      </c>
      <c r="C14" s="78">
        <v>30</v>
      </c>
      <c r="D14" s="78">
        <v>1</v>
      </c>
      <c r="E14" s="78">
        <v>0</v>
      </c>
      <c r="F14" s="78">
        <v>0</v>
      </c>
      <c r="G14" s="78">
        <v>5</v>
      </c>
      <c r="H14" s="78">
        <v>15</v>
      </c>
      <c r="I14" s="78">
        <v>1</v>
      </c>
      <c r="J14" s="78">
        <v>0</v>
      </c>
      <c r="K14" s="78">
        <v>0</v>
      </c>
      <c r="L14" s="83">
        <f t="shared" si="0"/>
        <v>500</v>
      </c>
      <c r="M14" s="83">
        <f t="shared" si="1"/>
        <v>500</v>
      </c>
      <c r="N14" s="83">
        <f t="shared" si="2"/>
        <v>1000</v>
      </c>
      <c r="O14" s="83" t="e">
        <f t="shared" si="3"/>
        <v>#DIV/0!</v>
      </c>
      <c r="P14" s="83" t="e">
        <f t="shared" si="3"/>
        <v>#DIV/0!</v>
      </c>
      <c r="Q14" s="139"/>
      <c r="R14" s="139"/>
    </row>
    <row r="15" spans="1:18" ht="45" customHeight="1" x14ac:dyDescent="0.2">
      <c r="A15" s="173" t="s">
        <v>14</v>
      </c>
      <c r="B15" s="78">
        <v>57</v>
      </c>
      <c r="C15" s="78">
        <v>75.8</v>
      </c>
      <c r="D15" s="78">
        <v>39</v>
      </c>
      <c r="E15" s="78">
        <v>25.1</v>
      </c>
      <c r="F15" s="78">
        <v>21.6</v>
      </c>
      <c r="G15" s="78">
        <v>13</v>
      </c>
      <c r="H15" s="78">
        <v>52.4</v>
      </c>
      <c r="I15" s="78">
        <v>21.372</v>
      </c>
      <c r="J15" s="78">
        <v>11.927520000000001</v>
      </c>
      <c r="K15" s="78">
        <v>14.925600000000001</v>
      </c>
      <c r="L15" s="83">
        <f t="shared" si="0"/>
        <v>228.07017543859646</v>
      </c>
      <c r="M15" s="83">
        <f t="shared" si="1"/>
        <v>691.29287598944586</v>
      </c>
      <c r="N15" s="83">
        <f t="shared" si="2"/>
        <v>548</v>
      </c>
      <c r="O15" s="83">
        <f t="shared" si="3"/>
        <v>475.2</v>
      </c>
      <c r="P15" s="83">
        <f t="shared" si="3"/>
        <v>691.00000000000011</v>
      </c>
      <c r="Q15" s="139"/>
      <c r="R15" s="139"/>
    </row>
    <row r="16" spans="1:18" ht="45" customHeight="1" x14ac:dyDescent="0.2">
      <c r="A16" s="174" t="s">
        <v>101</v>
      </c>
      <c r="B16" s="78">
        <v>0.39</v>
      </c>
      <c r="C16" s="78">
        <v>0.35</v>
      </c>
      <c r="D16" s="78">
        <v>0.41</v>
      </c>
      <c r="E16" s="78">
        <v>0.5</v>
      </c>
      <c r="F16" s="78">
        <v>0.3</v>
      </c>
      <c r="G16" s="78">
        <v>0.23</v>
      </c>
      <c r="H16" s="78">
        <v>0.21</v>
      </c>
      <c r="I16" s="78">
        <v>0.24927999999999997</v>
      </c>
      <c r="J16" s="78">
        <v>0.3</v>
      </c>
      <c r="K16" s="78">
        <v>0.18</v>
      </c>
      <c r="L16" s="83">
        <f t="shared" si="0"/>
        <v>589.74358974358972</v>
      </c>
      <c r="M16" s="83">
        <f t="shared" si="1"/>
        <v>600</v>
      </c>
      <c r="N16" s="83">
        <f t="shared" si="2"/>
        <v>608</v>
      </c>
      <c r="O16" s="83">
        <f t="shared" si="3"/>
        <v>600</v>
      </c>
      <c r="P16" s="83">
        <f t="shared" si="3"/>
        <v>600</v>
      </c>
      <c r="Q16" s="139"/>
      <c r="R16" s="139"/>
    </row>
    <row r="17" spans="1:18" ht="45" customHeight="1" x14ac:dyDescent="0.2">
      <c r="A17" s="174" t="s">
        <v>103</v>
      </c>
      <c r="B17" s="78">
        <v>4</v>
      </c>
      <c r="C17" s="78">
        <v>4</v>
      </c>
      <c r="D17" s="78">
        <v>4</v>
      </c>
      <c r="E17" s="78">
        <v>3</v>
      </c>
      <c r="F17" s="78">
        <v>2</v>
      </c>
      <c r="G17" s="78">
        <v>3</v>
      </c>
      <c r="H17" s="78">
        <v>3</v>
      </c>
      <c r="I17" s="78">
        <v>2.2679999999999998</v>
      </c>
      <c r="J17" s="78">
        <v>1.8149999999999999</v>
      </c>
      <c r="K17" s="78">
        <v>2.21</v>
      </c>
      <c r="L17" s="83">
        <f t="shared" si="0"/>
        <v>750</v>
      </c>
      <c r="M17" s="83">
        <f t="shared" si="1"/>
        <v>750</v>
      </c>
      <c r="N17" s="83">
        <f t="shared" si="2"/>
        <v>567</v>
      </c>
      <c r="O17" s="83">
        <f t="shared" si="3"/>
        <v>605</v>
      </c>
      <c r="P17" s="83">
        <f t="shared" si="3"/>
        <v>1105</v>
      </c>
      <c r="Q17" s="139"/>
      <c r="R17" s="139"/>
    </row>
    <row r="18" spans="1:18" ht="45" customHeight="1" x14ac:dyDescent="0.2">
      <c r="A18" s="174" t="s">
        <v>23</v>
      </c>
      <c r="B18" s="78">
        <v>1</v>
      </c>
      <c r="C18" s="78">
        <v>0.498</v>
      </c>
      <c r="D18" s="78">
        <v>1</v>
      </c>
      <c r="E18" s="78">
        <v>6.0000000000000001E-3</v>
      </c>
      <c r="F18" s="78">
        <v>0</v>
      </c>
      <c r="G18" s="78">
        <v>1</v>
      </c>
      <c r="H18" s="78">
        <v>0.439</v>
      </c>
      <c r="I18" s="78">
        <v>1</v>
      </c>
      <c r="J18" s="78">
        <v>4.2000000000000006E-3</v>
      </c>
      <c r="K18" s="78">
        <v>0</v>
      </c>
      <c r="L18" s="83">
        <f t="shared" si="0"/>
        <v>1000</v>
      </c>
      <c r="M18" s="83">
        <f t="shared" si="1"/>
        <v>881.52610441767069</v>
      </c>
      <c r="N18" s="83">
        <f t="shared" si="2"/>
        <v>1000</v>
      </c>
      <c r="O18" s="83">
        <f t="shared" si="3"/>
        <v>700.00000000000011</v>
      </c>
      <c r="P18" s="83" t="e">
        <f t="shared" si="3"/>
        <v>#DIV/0!</v>
      </c>
      <c r="Q18" s="139"/>
      <c r="R18" s="139"/>
    </row>
    <row r="19" spans="1:18" s="18" customFormat="1" ht="45" customHeight="1" x14ac:dyDescent="0.2">
      <c r="A19" s="174" t="s">
        <v>69</v>
      </c>
      <c r="B19" s="80">
        <f t="shared" ref="B19:K19" si="4">SUM(B7:B18)</f>
        <v>127.496</v>
      </c>
      <c r="C19" s="80">
        <f t="shared" si="4"/>
        <v>144.27399999999997</v>
      </c>
      <c r="D19" s="80">
        <f t="shared" si="4"/>
        <v>82.147999999999996</v>
      </c>
      <c r="E19" s="80">
        <f>SUM(E7:E18)</f>
        <v>45.888999999999996</v>
      </c>
      <c r="F19" s="80">
        <f>SUM(F7:F18)</f>
        <v>51.789000000000001</v>
      </c>
      <c r="G19" s="80">
        <f t="shared" si="4"/>
        <v>52.99</v>
      </c>
      <c r="H19" s="80">
        <f t="shared" si="4"/>
        <v>93.895999999999987</v>
      </c>
      <c r="I19" s="80">
        <f t="shared" si="4"/>
        <v>55.280073999999999</v>
      </c>
      <c r="J19" s="80">
        <f t="shared" si="4"/>
        <v>24.644083000000006</v>
      </c>
      <c r="K19" s="80">
        <f t="shared" si="4"/>
        <v>43.667994</v>
      </c>
      <c r="L19" s="84">
        <f t="shared" si="0"/>
        <v>415.6208822237561</v>
      </c>
      <c r="M19" s="84">
        <f t="shared" si="1"/>
        <v>650.81719505940089</v>
      </c>
      <c r="N19" s="84">
        <f t="shared" si="2"/>
        <v>672.93268247553192</v>
      </c>
      <c r="O19" s="84">
        <f t="shared" si="3"/>
        <v>537.03682799799537</v>
      </c>
      <c r="P19" s="84">
        <f t="shared" si="3"/>
        <v>843.19052308405264</v>
      </c>
      <c r="Q19" s="141"/>
      <c r="R19" s="141"/>
    </row>
    <row r="20" spans="1:18" ht="21" customHeight="1" x14ac:dyDescent="0.2">
      <c r="A20" s="38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8" x14ac:dyDescent="0.2"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8" x14ac:dyDescent="0.2">
      <c r="B22" s="49"/>
      <c r="C22" s="49"/>
      <c r="D22" s="49"/>
      <c r="E22" s="49"/>
      <c r="F22" s="49"/>
      <c r="G22" s="49"/>
      <c r="H22" s="49"/>
      <c r="I22" s="49"/>
      <c r="J22" s="49"/>
      <c r="K22" s="49"/>
    </row>
  </sheetData>
  <mergeCells count="5">
    <mergeCell ref="B5:F5"/>
    <mergeCell ref="A5:A6"/>
    <mergeCell ref="A3:M3"/>
    <mergeCell ref="L5:P5"/>
    <mergeCell ref="G5:K5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S44"/>
  <sheetViews>
    <sheetView view="pageBreakPreview" zoomScale="60" zoomScaleNormal="60" workbookViewId="0">
      <pane xSplit="1" ySplit="6" topLeftCell="B31" activePane="bottomRight" state="frozen"/>
      <selection pane="topRight"/>
      <selection pane="bottomLeft"/>
      <selection pane="bottomRight" activeCell="K43" sqref="A43:K46"/>
    </sheetView>
  </sheetViews>
  <sheetFormatPr defaultRowHeight="18" x14ac:dyDescent="0.2"/>
  <cols>
    <col min="1" max="1" width="26.42578125" style="13" customWidth="1"/>
    <col min="2" max="16" width="14.42578125" style="13" customWidth="1"/>
    <col min="17" max="18" width="14.42578125" style="144" customWidth="1"/>
    <col min="19" max="16384" width="9.140625" style="13"/>
  </cols>
  <sheetData>
    <row r="2" spans="1:19" x14ac:dyDescent="0.2">
      <c r="S2" s="2"/>
    </row>
    <row r="4" spans="1:19" ht="30" customHeight="1" x14ac:dyDescent="0.2">
      <c r="A4" s="232" t="s">
        <v>122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66"/>
      <c r="O4" s="66"/>
      <c r="P4" s="66"/>
      <c r="Q4" s="66"/>
      <c r="R4" s="66"/>
    </row>
    <row r="5" spans="1:19" ht="24.75" customHeight="1" x14ac:dyDescent="0.2">
      <c r="A5" s="209" t="s">
        <v>140</v>
      </c>
      <c r="B5" s="213" t="s">
        <v>80</v>
      </c>
      <c r="C5" s="213"/>
      <c r="D5" s="213"/>
      <c r="E5" s="213"/>
      <c r="F5" s="213"/>
      <c r="G5" s="213" t="s">
        <v>81</v>
      </c>
      <c r="H5" s="213"/>
      <c r="I5" s="213"/>
      <c r="J5" s="213"/>
      <c r="K5" s="213"/>
      <c r="L5" s="213" t="s">
        <v>78</v>
      </c>
      <c r="M5" s="213"/>
      <c r="N5" s="213"/>
      <c r="O5" s="213"/>
      <c r="P5" s="213"/>
      <c r="Q5" s="108"/>
      <c r="R5" s="108"/>
    </row>
    <row r="6" spans="1:19" s="15" customFormat="1" ht="26.25" customHeight="1" x14ac:dyDescent="0.2">
      <c r="A6" s="209"/>
      <c r="B6" s="99" t="s">
        <v>107</v>
      </c>
      <c r="C6" s="99" t="s">
        <v>108</v>
      </c>
      <c r="D6" s="99" t="s">
        <v>111</v>
      </c>
      <c r="E6" s="99" t="s">
        <v>138</v>
      </c>
      <c r="F6" s="99" t="s">
        <v>141</v>
      </c>
      <c r="G6" s="99" t="s">
        <v>107</v>
      </c>
      <c r="H6" s="99" t="s">
        <v>108</v>
      </c>
      <c r="I6" s="99" t="s">
        <v>111</v>
      </c>
      <c r="J6" s="99" t="s">
        <v>138</v>
      </c>
      <c r="K6" s="99" t="s">
        <v>141</v>
      </c>
      <c r="L6" s="99" t="s">
        <v>107</v>
      </c>
      <c r="M6" s="99" t="s">
        <v>108</v>
      </c>
      <c r="N6" s="99" t="s">
        <v>111</v>
      </c>
      <c r="O6" s="99" t="s">
        <v>138</v>
      </c>
      <c r="P6" s="99" t="s">
        <v>141</v>
      </c>
      <c r="Q6" s="155"/>
      <c r="R6" s="155"/>
    </row>
    <row r="7" spans="1:19" ht="24.75" customHeight="1" x14ac:dyDescent="0.2">
      <c r="A7" s="190" t="s">
        <v>1</v>
      </c>
      <c r="B7" s="78">
        <f>'G Nut U'!C6+'Castor U'!B7+'Niger U'!B7+'Sesamum U'!B7+'Sunflower U'!C6+'Soyabean U'!B7</f>
        <v>801</v>
      </c>
      <c r="C7" s="78">
        <f>'G Nut U'!D6+'Castor U'!C7+'Niger U'!C7+'Sesamum U'!C7+'Sunflower U'!D6+'Soyabean U'!C7</f>
        <v>1047</v>
      </c>
      <c r="D7" s="78">
        <f>'G Nut U'!E6+'Castor U'!D7+'Niger U'!D7+'Sesamum U'!D7+'Sunflower U'!E6+'Soyabean U'!D7</f>
        <v>729.529</v>
      </c>
      <c r="E7" s="78">
        <f>'G Nut U'!F6+'Castor U'!E7+'Niger U'!E7+'Sesamum U'!E7+'Sunflower U'!F6+'Soyabean U'!E7</f>
        <v>782</v>
      </c>
      <c r="F7" s="78">
        <f>'G Nut U'!G6+'Castor U'!F7+'Niger U'!F7+'Sesamum U'!F7+'Sunflower U'!G6+'Soyabean U'!F7</f>
        <v>652</v>
      </c>
      <c r="G7" s="78">
        <f>'G Nut U'!H6+'Castor U'!G7+'Niger U'!G7+'Sesamum U'!G7+'Sunflower U'!H6+'Soyabean U'!G7</f>
        <v>651</v>
      </c>
      <c r="H7" s="78">
        <f>'G Nut U'!I6+'Castor U'!H7+'Niger U'!H7+'Sesamum U'!H7+'Sunflower U'!I6+'Soyabean U'!H7</f>
        <v>435.22399999999999</v>
      </c>
      <c r="I7" s="78">
        <f>'G Nut U'!J6+'Castor U'!I7+'Niger U'!I7+'Sesamum U'!I7+'Sunflower U'!J6+'Soyabean U'!I7</f>
        <v>874.17928100000006</v>
      </c>
      <c r="J7" s="78">
        <f>'G Nut U'!K6+'Castor U'!J7+'Niger U'!J7+'Sesamum U'!J7+'Sunflower U'!K6+'Soyabean U'!J7</f>
        <v>366.28</v>
      </c>
      <c r="K7" s="78">
        <f>'G Nut U'!L6+'Castor U'!K7+'Niger U'!K7+'Sesamum U'!K7+'Sunflower U'!L6+'Soyabean U'!K7</f>
        <v>665.79599999999982</v>
      </c>
      <c r="L7" s="200">
        <f t="shared" ref="L7:L39" si="0">G7/B7*1000</f>
        <v>812.7340823970037</v>
      </c>
      <c r="M7" s="200">
        <f t="shared" ref="M7:M39" si="1">H7/C7*1000</f>
        <v>415.6867239732569</v>
      </c>
      <c r="N7" s="200">
        <f t="shared" ref="N7:N39" si="2">I7/D7*1000</f>
        <v>1198.279000560636</v>
      </c>
      <c r="O7" s="200">
        <f t="shared" ref="O7:P39" si="3">J7/E7*1000</f>
        <v>468.38874680306901</v>
      </c>
      <c r="P7" s="200">
        <f t="shared" si="3"/>
        <v>1021.1595092024537</v>
      </c>
      <c r="Q7" s="139"/>
      <c r="R7" s="139"/>
    </row>
    <row r="8" spans="1:19" ht="24.75" customHeight="1" x14ac:dyDescent="0.2">
      <c r="A8" s="190" t="s">
        <v>32</v>
      </c>
      <c r="B8" s="78">
        <f>'G Nut U'!C9+'Castor U'!B8+'Niger U'!B8+'Sesamum U'!B8+'Sunflower U'!C9+'Soyabean U'!B8</f>
        <v>5.7779999999999996</v>
      </c>
      <c r="C8" s="78">
        <f>'G Nut U'!D9+'Castor U'!C8+'Niger U'!C8+'Sesamum U'!C8+'Sunflower U'!D9+'Soyabean U'!C8</f>
        <v>6.9080000000000004</v>
      </c>
      <c r="D8" s="78">
        <f>'G Nut U'!E9+'Castor U'!D8+'Niger U'!D8+'Sesamum U'!D8+'Sunflower U'!E9+'Soyabean U'!D8</f>
        <v>7.0470000000000006</v>
      </c>
      <c r="E8" s="78">
        <f>'G Nut U'!F9+'Castor U'!E8+'Niger U'!E8+'Sesamum U'!E8+'Sunflower U'!F9+'Soyabean U'!E8</f>
        <v>7.3940000000000001</v>
      </c>
      <c r="F8" s="78">
        <f>'G Nut U'!G9+'Castor U'!F8+'Niger U'!F8+'Sesamum U'!F8+'Sunflower U'!G9+'Soyabean U'!F8</f>
        <v>7.07</v>
      </c>
      <c r="G8" s="78">
        <f>'G Nut U'!H9+'Castor U'!G8+'Niger U'!G8+'Sesamum U'!G8+'Sunflower U'!H9+'Soyabean U'!G8</f>
        <v>4.5609999999999999</v>
      </c>
      <c r="H8" s="78">
        <f>'G Nut U'!I9+'Castor U'!H8+'Niger U'!H8+'Sesamum U'!H8+'Sunflower U'!I9+'Soyabean U'!H8</f>
        <v>7.7759999999999998</v>
      </c>
      <c r="I8" s="78">
        <f>'G Nut U'!J9+'Castor U'!I8+'Niger U'!I8+'Sesamum U'!I8+'Sunflower U'!J9+'Soyabean U'!I8</f>
        <v>7.929119</v>
      </c>
      <c r="J8" s="78">
        <f>'G Nut U'!K9+'Castor U'!J8+'Niger U'!J8+'Sesamum U'!J8+'Sunflower U'!K9+'Soyabean U'!J8</f>
        <v>8.2901819999999997</v>
      </c>
      <c r="K8" s="78">
        <f>'G Nut U'!L9+'Castor U'!K8+'Niger U'!K8+'Sesamum U'!K8+'Sunflower U'!L9+'Soyabean U'!K8</f>
        <v>7.9594979999999991</v>
      </c>
      <c r="L8" s="200">
        <f t="shared" si="0"/>
        <v>789.37348563516798</v>
      </c>
      <c r="M8" s="200">
        <f t="shared" si="1"/>
        <v>1125.651418645049</v>
      </c>
      <c r="N8" s="200">
        <f t="shared" si="2"/>
        <v>1125.176529019441</v>
      </c>
      <c r="O8" s="200">
        <f t="shared" si="3"/>
        <v>1121.2039491479577</v>
      </c>
      <c r="P8" s="200">
        <f t="shared" si="3"/>
        <v>1125.8130127298443</v>
      </c>
      <c r="Q8" s="139"/>
      <c r="R8" s="139"/>
    </row>
    <row r="9" spans="1:19" ht="24.75" customHeight="1" x14ac:dyDescent="0.2">
      <c r="A9" s="190" t="s">
        <v>28</v>
      </c>
      <c r="B9" s="78">
        <f>'Castor U'!B9+'Niger U'!B9+'Sesamum U'!B9</f>
        <v>19.184999999999999</v>
      </c>
      <c r="C9" s="78">
        <f>'Castor U'!C9+'Niger U'!C9+'Sesamum U'!C9</f>
        <v>18.593</v>
      </c>
      <c r="D9" s="78">
        <f>'Castor U'!D9+'Niger U'!D9+'Sesamum U'!D9</f>
        <v>18.940000000000001</v>
      </c>
      <c r="E9" s="78">
        <f>'Castor U'!E9+'Niger U'!E9+'Sesamum U'!E9</f>
        <v>18.381</v>
      </c>
      <c r="F9" s="78">
        <f>'Castor U'!F9+'Niger U'!F9+'Sesamum U'!F9</f>
        <v>18.489999999999998</v>
      </c>
      <c r="G9" s="78">
        <f>'Castor U'!G9+'Niger U'!G9+'Sesamum U'!G9</f>
        <v>12.355</v>
      </c>
      <c r="H9" s="78">
        <f>'Castor U'!H9+'Niger U'!H9+'Sesamum U'!H9</f>
        <v>12.051</v>
      </c>
      <c r="I9" s="78">
        <f>'Castor U'!I9+'Niger U'!I9+'Sesamum U'!I9</f>
        <v>12.062099999999999</v>
      </c>
      <c r="J9" s="78">
        <f>'Castor U'!J9+'Niger U'!J9+'Sesamum U'!J9</f>
        <v>11.802270999999999</v>
      </c>
      <c r="K9" s="78">
        <f>'Castor U'!K9+'Niger U'!K9+'Sesamum U'!K9</f>
        <v>12.054209</v>
      </c>
      <c r="L9" s="200">
        <f t="shared" si="0"/>
        <v>643.99270263226481</v>
      </c>
      <c r="M9" s="200">
        <f t="shared" si="1"/>
        <v>648.14715215403646</v>
      </c>
      <c r="N9" s="200">
        <f t="shared" si="2"/>
        <v>636.85850052798298</v>
      </c>
      <c r="O9" s="200">
        <f t="shared" si="3"/>
        <v>642.09080028290077</v>
      </c>
      <c r="P9" s="200">
        <f t="shared" si="3"/>
        <v>651.93126014061659</v>
      </c>
      <c r="Q9" s="139"/>
      <c r="R9" s="139"/>
    </row>
    <row r="10" spans="1:19" ht="24.75" customHeight="1" x14ac:dyDescent="0.2">
      <c r="A10" s="190" t="s">
        <v>40</v>
      </c>
      <c r="B10" s="78">
        <f>'G Nut U'!D10+'Castor U'!B10+'Sesamum U'!B10+'Soyabean U'!B9+'Sunflower U'!C10</f>
        <v>5.681</v>
      </c>
      <c r="C10" s="78">
        <f>'G Nut U'!E10+'Castor U'!C10+'Sesamum U'!C10+'Soyabean U'!C9+'Sunflower U'!D10</f>
        <v>4.758</v>
      </c>
      <c r="D10" s="78">
        <f>'G Nut U'!F10+'Castor U'!D10+'Sesamum U'!D10+'Soyabean U'!D9+'Sunflower U'!E10</f>
        <v>3.5879999999999996</v>
      </c>
      <c r="E10" s="78">
        <f>'G Nut U'!G10+'Castor U'!E10+'Sesamum U'!E10+'Soyabean U'!E9+'Sunflower U'!F10</f>
        <v>3.7610000000000001</v>
      </c>
      <c r="F10" s="78">
        <f>'G Nut U'!H10+'Castor U'!F10+'Sesamum U'!F10+'Soyabean U'!F9+'Sunflower U'!G10</f>
        <v>22.804000000000002</v>
      </c>
      <c r="G10" s="78">
        <f>'G Nut U'!H10+'Castor U'!G10+'Sesamum U'!G10+'Soyabean U'!G9+'Sunflower U'!H10</f>
        <v>5.4530000000000003</v>
      </c>
      <c r="H10" s="78">
        <f>'G Nut U'!I10+'Castor U'!H10+'Sesamum U'!H10+'Soyabean U'!H9+'Sunflower U'!I10</f>
        <v>5.5289999999999999</v>
      </c>
      <c r="I10" s="78">
        <f>'G Nut U'!J10+'Castor U'!I10+'Sesamum U'!I10+'Soyabean U'!I9+'Sunflower U'!J10</f>
        <v>3.4505780000000001</v>
      </c>
      <c r="J10" s="78">
        <f>'G Nut U'!K10+'Castor U'!J10+'Sesamum U'!J10+'Soyabean U'!J9+'Sunflower U'!K10</f>
        <v>4.0012173377265237</v>
      </c>
      <c r="K10" s="78">
        <f>'G Nut U'!L10+'Castor U'!K10+'Sesamum U'!K10+'Soyabean U'!K9+'Sunflower U'!L10</f>
        <v>18.544186</v>
      </c>
      <c r="L10" s="200">
        <f t="shared" si="0"/>
        <v>959.86622073578599</v>
      </c>
      <c r="M10" s="200">
        <f t="shared" si="1"/>
        <v>1162.0428751576292</v>
      </c>
      <c r="N10" s="200">
        <f t="shared" si="2"/>
        <v>961.69955406911947</v>
      </c>
      <c r="O10" s="200">
        <f t="shared" si="3"/>
        <v>1063.870602958395</v>
      </c>
      <c r="P10" s="200">
        <f t="shared" si="3"/>
        <v>813.19882476758448</v>
      </c>
      <c r="Q10" s="139"/>
      <c r="R10" s="139"/>
    </row>
    <row r="11" spans="1:19" ht="24.75" customHeight="1" x14ac:dyDescent="0.2">
      <c r="A11" s="190" t="s">
        <v>6</v>
      </c>
      <c r="B11" s="78">
        <f>'G Nut U'!C11+'Castor U'!B11+'Niger U'!B10+'Sesamum U'!B11+'Sunflower U'!C13+'Soyabean U'!B10</f>
        <v>227.7</v>
      </c>
      <c r="C11" s="78">
        <f>'G Nut U'!D11+'Castor U'!C11+'Niger U'!C10+'Sesamum U'!C11+'Sunflower U'!D13+'Soyabean U'!C10</f>
        <v>214.89999999999998</v>
      </c>
      <c r="D11" s="78">
        <f>'G Nut U'!E11+'Castor U'!D11+'Niger U'!D10+'Sesamum U'!D11+'Sunflower U'!E13+'Soyabean U'!D10</f>
        <v>196.75</v>
      </c>
      <c r="E11" s="78">
        <f>'G Nut U'!F11+'Castor U'!E11+'Niger U'!E10+'Sesamum U'!E11+'Sunflower U'!F13+'Soyabean U'!E10</f>
        <v>200.23000000000002</v>
      </c>
      <c r="F11" s="78">
        <f>'G Nut U'!G11+'Castor U'!F11+'Niger U'!F10+'Sesamum U'!F11+'Sunflower U'!G13+'Soyabean U'!F10</f>
        <v>166.07999999999998</v>
      </c>
      <c r="G11" s="78">
        <f>'G Nut U'!H11+'Castor U'!G11+'Niger U'!G10+'Sesamum U'!G11+'Sunflower U'!H13+'Soyabean U'!G10</f>
        <v>119.10000000000001</v>
      </c>
      <c r="H11" s="78">
        <f>'G Nut U'!I11+'Castor U'!H11+'Niger U'!H10+'Sesamum U'!H11+'Sunflower U'!I13+'Soyabean U'!H10</f>
        <v>139.39999999999998</v>
      </c>
      <c r="I11" s="78">
        <f>'G Nut U'!J11+'Castor U'!I11+'Niger U'!I10+'Sesamum U'!I11+'Sunflower U'!J13+'Soyabean U'!I10</f>
        <v>98.341239999999999</v>
      </c>
      <c r="J11" s="78">
        <f>'G Nut U'!K11+'Castor U'!J11+'Niger U'!J10+'Sesamum U'!J11+'Sunflower U'!K13+'Soyabean U'!J10</f>
        <v>123.57898</v>
      </c>
      <c r="K11" s="78">
        <f>'G Nut U'!L11+'Castor U'!K11+'Niger U'!K10+'Sesamum U'!K11+'Sunflower U'!L13+'Soyabean U'!K10</f>
        <v>138.26463999999999</v>
      </c>
      <c r="L11" s="200">
        <f t="shared" si="0"/>
        <v>523.05665349143612</v>
      </c>
      <c r="M11" s="200">
        <f t="shared" si="1"/>
        <v>648.6738017682643</v>
      </c>
      <c r="N11" s="200">
        <f t="shared" si="2"/>
        <v>499.82841168996191</v>
      </c>
      <c r="O11" s="200">
        <f t="shared" si="3"/>
        <v>617.18513709234378</v>
      </c>
      <c r="P11" s="200">
        <f t="shared" si="3"/>
        <v>832.51830443159929</v>
      </c>
      <c r="Q11" s="139"/>
      <c r="R11" s="139"/>
    </row>
    <row r="12" spans="1:19" ht="24.75" customHeight="1" x14ac:dyDescent="0.2">
      <c r="A12" s="190" t="s">
        <v>7</v>
      </c>
      <c r="B12" s="78">
        <f>'G Nut U'!C12</f>
        <v>0.36099999999999999</v>
      </c>
      <c r="C12" s="78">
        <f>'G Nut U'!D12</f>
        <v>0.33600000000000002</v>
      </c>
      <c r="D12" s="78">
        <f>'G Nut U'!E12</f>
        <v>0.28000000000000003</v>
      </c>
      <c r="E12" s="78">
        <f>'G Nut U'!F12</f>
        <v>0.21</v>
      </c>
      <c r="F12" s="78">
        <f>'G Nut U'!G12</f>
        <v>2E-3</v>
      </c>
      <c r="G12" s="78">
        <f>'G Nut U'!H12</f>
        <v>0.73699999999999999</v>
      </c>
      <c r="H12" s="78">
        <f>'G Nut U'!I12</f>
        <v>0.85899999999999999</v>
      </c>
      <c r="I12" s="78">
        <f>'G Nut U'!J12</f>
        <v>0.65100000000000013</v>
      </c>
      <c r="J12" s="78">
        <f>'G Nut U'!K12</f>
        <v>0.49769999999999998</v>
      </c>
      <c r="K12" s="78">
        <f>'G Nut U'!L12</f>
        <v>5.5280000000000008E-3</v>
      </c>
      <c r="L12" s="200">
        <f t="shared" si="0"/>
        <v>2041.5512465373959</v>
      </c>
      <c r="M12" s="200">
        <f t="shared" si="1"/>
        <v>2556.5476190476188</v>
      </c>
      <c r="N12" s="200">
        <f t="shared" si="2"/>
        <v>2325</v>
      </c>
      <c r="O12" s="200">
        <f t="shared" si="3"/>
        <v>2370</v>
      </c>
      <c r="P12" s="200">
        <f t="shared" si="3"/>
        <v>2764.0000000000005</v>
      </c>
      <c r="Q12" s="139"/>
      <c r="R12" s="139"/>
    </row>
    <row r="13" spans="1:19" ht="24.75" customHeight="1" x14ac:dyDescent="0.2">
      <c r="A13" s="190" t="s">
        <v>8</v>
      </c>
      <c r="B13" s="78">
        <f>'G Nut U'!C15+'Castor U'!B12+'Niger U'!B11+'Sesamum U'!B12+'Soyabean U'!B11</f>
        <v>2320</v>
      </c>
      <c r="C13" s="78">
        <f>'G Nut U'!D15+'Castor U'!C12+'Niger U'!C11+'Sesamum U'!C12+'Soyabean U'!C11</f>
        <v>2512</v>
      </c>
      <c r="D13" s="78">
        <f>'G Nut U'!E15+'Castor U'!D12+'Niger U'!D11+'Sesamum U'!D12+'Soyabean U'!D11</f>
        <v>2485</v>
      </c>
      <c r="E13" s="78">
        <f>'G Nut U'!F15+'Castor U'!E12+'Niger U'!E11+'Sesamum U'!E12+'Soyabean U'!E11</f>
        <v>2321.6400000000003</v>
      </c>
      <c r="F13" s="78">
        <f>'G Nut U'!G15+'Castor U'!F12+'Niger U'!F11+'Sesamum U'!F12+'Soyabean U'!F11</f>
        <v>2635.1499999999996</v>
      </c>
      <c r="G13" s="78">
        <f>'G Nut U'!H15+'Castor U'!G12+'Niger U'!G11+'Sesamum U'!G12+'Soyabean U'!G11</f>
        <v>3777.0952000000002</v>
      </c>
      <c r="H13" s="78">
        <f>'G Nut U'!I15+'Castor U'!H12+'Niger U'!H11+'Sesamum U'!H12+'Soyabean U'!H11</f>
        <v>4332.32</v>
      </c>
      <c r="I13" s="78">
        <f>'G Nut U'!J15+'Castor U'!I12+'Niger U'!I11+'Sesamum U'!I12+'Soyabean U'!I11</f>
        <v>5364.8580000000002</v>
      </c>
      <c r="J13" s="78">
        <f>'G Nut U'!K15+'Castor U'!J12+'Niger U'!J11+'Sesamum U'!J12+'Soyabean U'!J11</f>
        <v>3308.6500199999991</v>
      </c>
      <c r="K13" s="78">
        <f>'G Nut U'!L15+'Castor U'!K12+'Niger U'!K11+'Sesamum U'!K12+'Soyabean U'!K11</f>
        <v>6176.7453599999999</v>
      </c>
      <c r="L13" s="200">
        <f t="shared" si="0"/>
        <v>1628.058275862069</v>
      </c>
      <c r="M13" s="200">
        <f t="shared" si="1"/>
        <v>1724.6496815286623</v>
      </c>
      <c r="N13" s="200">
        <f t="shared" si="2"/>
        <v>2158.896579476861</v>
      </c>
      <c r="O13" s="200">
        <f t="shared" si="3"/>
        <v>1425.1348271049769</v>
      </c>
      <c r="P13" s="200">
        <f t="shared" si="3"/>
        <v>2343.9824526118064</v>
      </c>
      <c r="Q13" s="139"/>
      <c r="R13" s="139"/>
    </row>
    <row r="14" spans="1:19" ht="24.75" customHeight="1" x14ac:dyDescent="0.2">
      <c r="A14" s="190" t="s">
        <v>34</v>
      </c>
      <c r="B14" s="78">
        <f>'G Nut U'!C18+'Castor U'!B13+'Sesamum U'!B13+'Sunflower U'!C19</f>
        <v>8.1999999999999993</v>
      </c>
      <c r="C14" s="78">
        <f>'G Nut U'!D18+'Castor U'!C13+'Sesamum U'!C13+'Sunflower U'!D19</f>
        <v>7.6999999999999993</v>
      </c>
      <c r="D14" s="78">
        <f>'G Nut U'!E18+'Castor U'!D13+'Sesamum U'!D13+'Sunflower U'!E19</f>
        <v>5.2</v>
      </c>
      <c r="E14" s="78">
        <f>'G Nut U'!F18+'Castor U'!E13+'Sesamum U'!E13+'Sunflower U'!F19</f>
        <v>6.7</v>
      </c>
      <c r="F14" s="78">
        <f>'G Nut U'!G18+'Castor U'!F13+'Sesamum U'!F13+'Sunflower U'!G19</f>
        <v>8.6</v>
      </c>
      <c r="G14" s="78">
        <f>'G Nut U'!H18+'Castor U'!G13+'Sesamum U'!G13+'Sunflower U'!H19</f>
        <v>6.1599999999999993</v>
      </c>
      <c r="H14" s="78">
        <f>'G Nut U'!I18+'Castor U'!H13+'Sesamum U'!H13+'Sunflower U'!I19</f>
        <v>7.13</v>
      </c>
      <c r="I14" s="78">
        <f>'G Nut U'!J18+'Castor U'!I13+'Sesamum U'!I13+'Sunflower U'!J19</f>
        <v>5.2874999999999996</v>
      </c>
      <c r="J14" s="78">
        <f>'G Nut U'!K18+'Castor U'!J13+'Sesamum U'!J13+'Sunflower U'!K19</f>
        <v>5.4195000000000002</v>
      </c>
      <c r="K14" s="78">
        <f>'G Nut U'!L18+'Castor U'!K13+'Sesamum U'!K13+'Sunflower U'!L19</f>
        <v>8.5844000000000005</v>
      </c>
      <c r="L14" s="200">
        <f t="shared" si="0"/>
        <v>751.21951219512198</v>
      </c>
      <c r="M14" s="200">
        <f t="shared" si="1"/>
        <v>925.97402597402595</v>
      </c>
      <c r="N14" s="200">
        <f t="shared" si="2"/>
        <v>1016.8269230769229</v>
      </c>
      <c r="O14" s="200">
        <f t="shared" si="3"/>
        <v>808.88059701492546</v>
      </c>
      <c r="P14" s="200">
        <f t="shared" si="3"/>
        <v>998.18604651162798</v>
      </c>
      <c r="Q14" s="139"/>
      <c r="R14" s="139"/>
    </row>
    <row r="15" spans="1:19" ht="24.75" customHeight="1" x14ac:dyDescent="0.2">
      <c r="A15" s="190" t="s">
        <v>45</v>
      </c>
      <c r="B15" s="78">
        <f>'G Nut U'!C19+'Sesamum U'!B14+'Soyabean U'!B12</f>
        <v>3.1560000000000001</v>
      </c>
      <c r="C15" s="78">
        <f>'G Nut U'!D19+'Sesamum U'!C14+'Soyabean U'!C12</f>
        <v>2.9509999999999996</v>
      </c>
      <c r="D15" s="78">
        <f>'G Nut U'!E19+'Sesamum U'!D14+'Soyabean U'!D12</f>
        <v>0.71700000000000008</v>
      </c>
      <c r="E15" s="78">
        <f>'G Nut U'!F19+'Sesamum U'!E14+'Soyabean U'!E12</f>
        <v>0.92300000000000004</v>
      </c>
      <c r="F15" s="78">
        <f>'G Nut U'!G19+'Sesamum U'!F14+'Soyabean U'!F12</f>
        <v>0.97900000000000009</v>
      </c>
      <c r="G15" s="78">
        <f>'G Nut U'!H19+'Sesamum U'!G14+'Soyabean U'!G12</f>
        <v>1.8650000000000002</v>
      </c>
      <c r="H15" s="78">
        <f>'G Nut U'!I19+'Sesamum U'!H14+'Soyabean U'!H12</f>
        <v>1.4590000000000001</v>
      </c>
      <c r="I15" s="78">
        <f>'G Nut U'!J19+'Sesamum U'!I14+'Soyabean U'!I12</f>
        <v>1.02315</v>
      </c>
      <c r="J15" s="78">
        <f>'G Nut U'!K19+'Sesamum U'!J14+'Soyabean U'!J12</f>
        <v>1.12113</v>
      </c>
      <c r="K15" s="78">
        <f>'G Nut U'!L19+'Sesamum U'!K14+'Soyabean U'!K12</f>
        <v>1.1913</v>
      </c>
      <c r="L15" s="200">
        <f t="shared" si="0"/>
        <v>590.93789607097597</v>
      </c>
      <c r="M15" s="200">
        <f t="shared" si="1"/>
        <v>494.40867502541516</v>
      </c>
      <c r="N15" s="200">
        <f t="shared" si="2"/>
        <v>1426.9874476987445</v>
      </c>
      <c r="O15" s="200">
        <f t="shared" si="3"/>
        <v>1214.6587215601298</v>
      </c>
      <c r="P15" s="200">
        <f t="shared" si="3"/>
        <v>1216.8539325842696</v>
      </c>
      <c r="Q15" s="139"/>
      <c r="R15" s="139"/>
    </row>
    <row r="16" spans="1:19" ht="24.75" customHeight="1" x14ac:dyDescent="0.2">
      <c r="A16" s="190" t="s">
        <v>41</v>
      </c>
      <c r="B16" s="78">
        <f>'G Nut U'!C20+'Niger U'!B12+'Sesamum U'!B15</f>
        <v>3.7389999999999999</v>
      </c>
      <c r="C16" s="78">
        <f>'G Nut U'!D20+'Niger U'!C12+'Sesamum U'!C15</f>
        <v>6.9809999999999999</v>
      </c>
      <c r="D16" s="78">
        <f>'G Nut U'!E20+'Niger U'!D12+'Sesamum U'!D15</f>
        <v>4.3259999999999996</v>
      </c>
      <c r="E16" s="78">
        <f>'G Nut U'!F20+'Niger U'!E12+'Sesamum U'!E15</f>
        <v>4.4219999999999997</v>
      </c>
      <c r="F16" s="78">
        <f>'G Nut U'!G20+'Niger U'!F12+'Sesamum U'!F15</f>
        <v>3.8250000000000002</v>
      </c>
      <c r="G16" s="78">
        <f>'G Nut U'!H20+'Niger U'!G12+'Sesamum U'!G15</f>
        <v>1.5325</v>
      </c>
      <c r="H16" s="78">
        <f>'G Nut U'!I20+'Niger U'!H12+'Sesamum U'!H15</f>
        <v>3.544</v>
      </c>
      <c r="I16" s="78">
        <f>'G Nut U'!J20+'Niger U'!I12+'Sesamum U'!I15</f>
        <v>1.7606819999999999</v>
      </c>
      <c r="J16" s="78">
        <f>'G Nut U'!K20+'Niger U'!J12+'Sesamum U'!J15</f>
        <v>1.8085979999999999</v>
      </c>
      <c r="K16" s="78">
        <f>'G Nut U'!L20+'Niger U'!K12+'Sesamum U'!K15</f>
        <v>1.5644250000000002</v>
      </c>
      <c r="L16" s="200">
        <f t="shared" si="0"/>
        <v>409.86894891682266</v>
      </c>
      <c r="M16" s="200">
        <f t="shared" si="1"/>
        <v>507.66365850164732</v>
      </c>
      <c r="N16" s="200">
        <f t="shared" si="2"/>
        <v>407</v>
      </c>
      <c r="O16" s="200">
        <f t="shared" si="3"/>
        <v>409.00000000000006</v>
      </c>
      <c r="P16" s="200">
        <f t="shared" si="3"/>
        <v>409.00000000000006</v>
      </c>
      <c r="Q16" s="139"/>
      <c r="R16" s="139"/>
    </row>
    <row r="17" spans="1:18" ht="24.75" customHeight="1" x14ac:dyDescent="0.2">
      <c r="A17" s="190" t="s">
        <v>50</v>
      </c>
      <c r="B17" s="78">
        <f>'G Nut U'!C21+'Castor U'!B14+'Niger U'!B13+'Sesamum U'!B16+'Sunflower U'!C22+'Soyabean U'!B13</f>
        <v>37.736000000000004</v>
      </c>
      <c r="C17" s="78">
        <f>'G Nut U'!D21+'Castor U'!C14+'Niger U'!C13+'Sesamum U'!C16+'Sunflower U'!D22+'Soyabean U'!C13</f>
        <v>46.792000000000002</v>
      </c>
      <c r="D17" s="78">
        <f>'G Nut U'!E21+'Castor U'!D14+'Niger U'!D13+'Sesamum U'!D16+'Sunflower U'!E22+'Soyabean U'!D13</f>
        <v>55.872</v>
      </c>
      <c r="E17" s="78">
        <f>'G Nut U'!F21+'Castor U'!E14+'Niger U'!E13+'Sesamum U'!E16+'Sunflower U'!F22+'Soyabean U'!E13</f>
        <v>55.947000000000003</v>
      </c>
      <c r="F17" s="78">
        <f>'G Nut U'!G21+'Castor U'!F14+'Niger U'!F13+'Sesamum U'!F16+'Sunflower U'!G22+'Soyabean U'!F13</f>
        <v>36.448999999999998</v>
      </c>
      <c r="G17" s="78">
        <f>'G Nut U'!H21+'Castor U'!G14+'Niger U'!G13+'Sesamum U'!G16+'Sunflower U'!H22+'Soyabean U'!G13</f>
        <v>26.405899999999992</v>
      </c>
      <c r="H17" s="78">
        <f>'G Nut U'!I21+'Castor U'!H14+'Niger U'!H13+'Sesamum U'!H16+'Sunflower U'!I22+'Soyabean U'!H13</f>
        <v>40.440000000000005</v>
      </c>
      <c r="I17" s="78">
        <f>'G Nut U'!J21+'Castor U'!I14+'Niger U'!I13+'Sesamum U'!I16+'Sunflower U'!J22+'Soyabean U'!I13</f>
        <v>47.232018000000004</v>
      </c>
      <c r="J17" s="78">
        <f>'G Nut U'!K21+'Castor U'!J14+'Niger U'!J13+'Sesamum U'!J16+'Sunflower U'!K22+'Soyabean U'!J13</f>
        <v>43.534848999999994</v>
      </c>
      <c r="K17" s="78">
        <f>'G Nut U'!L21+'Castor U'!K14+'Niger U'!K13+'Sesamum U'!K16+'Sunflower U'!L22+'Soyabean U'!K13</f>
        <v>33.633761000000007</v>
      </c>
      <c r="L17" s="200">
        <f t="shared" si="0"/>
        <v>699.75355098579575</v>
      </c>
      <c r="M17" s="200">
        <f t="shared" si="1"/>
        <v>864.25029919644396</v>
      </c>
      <c r="N17" s="200">
        <f t="shared" si="2"/>
        <v>845.36114690721649</v>
      </c>
      <c r="O17" s="200">
        <f t="shared" si="3"/>
        <v>778.14447602194923</v>
      </c>
      <c r="P17" s="200">
        <f t="shared" si="3"/>
        <v>922.76224313424257</v>
      </c>
      <c r="Q17" s="139"/>
      <c r="R17" s="139"/>
    </row>
    <row r="18" spans="1:18" ht="24.75" customHeight="1" x14ac:dyDescent="0.2">
      <c r="A18" s="190" t="s">
        <v>11</v>
      </c>
      <c r="B18" s="78">
        <f>'G Nut U'!C22+'Castor U'!B15+'Niger U'!B14+'Sesamum U'!B17+'Sunflower U'!C25+'Soyabean U'!B14</f>
        <v>856</v>
      </c>
      <c r="C18" s="78">
        <f>'G Nut U'!D22+'Castor U'!C15+'Niger U'!C14+'Sesamum U'!C17+'Sunflower U'!D25+'Soyabean U'!C14</f>
        <v>999</v>
      </c>
      <c r="D18" s="78">
        <f>'G Nut U'!E22+'Castor U'!D15+'Niger U'!D14+'Sesamum U'!D17+'Sunflower U'!E25+'Soyabean U'!D14</f>
        <v>825</v>
      </c>
      <c r="E18" s="78">
        <f>'G Nut U'!F22+'Castor U'!E15+'Niger U'!E14+'Sesamum U'!E17+'Sunflower U'!F25+'Soyabean U'!E14</f>
        <v>744.83999999999992</v>
      </c>
      <c r="F18" s="78">
        <f>'G Nut U'!G22+'Castor U'!F15+'Niger U'!F14+'Sesamum U'!F17+'Sunflower U'!G25+'Soyabean U'!F14</f>
        <v>848</v>
      </c>
      <c r="G18" s="78">
        <f>'G Nut U'!H22+'Castor U'!G15+'Niger U'!G14+'Sesamum U'!G17+'Sunflower U'!H25+'Soyabean U'!G14</f>
        <v>496</v>
      </c>
      <c r="H18" s="78">
        <f>'G Nut U'!I22+'Castor U'!H15+'Niger U'!H14+'Sesamum U'!H17+'Sunflower U'!I25+'Soyabean U'!H14</f>
        <v>591</v>
      </c>
      <c r="I18" s="78">
        <f>'G Nut U'!J22+'Castor U'!I15+'Niger U'!I14+'Sesamum U'!I17+'Sunflower U'!J25+'Soyabean U'!I14</f>
        <v>695.83820000000003</v>
      </c>
      <c r="J18" s="78">
        <f>'G Nut U'!K22+'Castor U'!J15+'Niger U'!J14+'Sesamum U'!J17+'Sunflower U'!K25+'Soyabean U'!J14</f>
        <v>628.17460000000005</v>
      </c>
      <c r="K18" s="78">
        <f>'G Nut U'!L22+'Castor U'!K15+'Niger U'!K14+'Sesamum U'!K17+'Sunflower U'!L25+'Soyabean U'!K14</f>
        <v>857.95299999999997</v>
      </c>
      <c r="L18" s="200">
        <f t="shared" si="0"/>
        <v>579.43925233644859</v>
      </c>
      <c r="M18" s="200">
        <f t="shared" si="1"/>
        <v>591.59159159159162</v>
      </c>
      <c r="N18" s="200">
        <f t="shared" si="2"/>
        <v>843.44024242424246</v>
      </c>
      <c r="O18" s="200">
        <f t="shared" si="3"/>
        <v>843.3685086730037</v>
      </c>
      <c r="P18" s="200">
        <f t="shared" si="3"/>
        <v>1011.7370283018868</v>
      </c>
      <c r="Q18" s="139"/>
      <c r="R18" s="139"/>
    </row>
    <row r="19" spans="1:18" ht="24.75" customHeight="1" x14ac:dyDescent="0.2">
      <c r="A19" s="190" t="s">
        <v>12</v>
      </c>
      <c r="B19" s="78">
        <f>'G Nut U'!C25+'Sesamum U'!B18</f>
        <v>0.63600000000000001</v>
      </c>
      <c r="C19" s="78">
        <f>'G Nut U'!D25+'Sesamum U'!C18</f>
        <v>0.53699999999999992</v>
      </c>
      <c r="D19" s="78">
        <f>'G Nut U'!E25+'Sesamum U'!D18</f>
        <v>0.5131</v>
      </c>
      <c r="E19" s="78">
        <f>'G Nut U'!F25+'Sesamum U'!E18</f>
        <v>0.49119999999999997</v>
      </c>
      <c r="F19" s="78">
        <f>'G Nut U'!G25+'Sesamum U'!F18</f>
        <v>0.27</v>
      </c>
      <c r="G19" s="78">
        <f>'G Nut U'!H25+'Sesamum U'!G18</f>
        <v>0.66700000000000004</v>
      </c>
      <c r="H19" s="78">
        <f>'G Nut U'!I25+'Sesamum U'!H18</f>
        <v>0.56499999999999995</v>
      </c>
      <c r="I19" s="78">
        <f>'G Nut U'!J25+'Sesamum U'!I18</f>
        <v>0.46181540000000004</v>
      </c>
      <c r="J19" s="78">
        <f>'G Nut U'!K25+'Sesamum U'!J18</f>
        <v>0.30108639999999998</v>
      </c>
      <c r="K19" s="78">
        <f>'G Nut U'!L25+'Sesamum U'!K18</f>
        <v>0.16930800000000001</v>
      </c>
      <c r="L19" s="200">
        <f t="shared" si="0"/>
        <v>1048.74213836478</v>
      </c>
      <c r="M19" s="200">
        <f t="shared" si="1"/>
        <v>1052.1415270018622</v>
      </c>
      <c r="N19" s="200">
        <f t="shared" si="2"/>
        <v>900.04950302085376</v>
      </c>
      <c r="O19" s="200">
        <f t="shared" si="3"/>
        <v>612.96091205211724</v>
      </c>
      <c r="P19" s="200">
        <f t="shared" si="3"/>
        <v>627.06666666666661</v>
      </c>
      <c r="Q19" s="139"/>
      <c r="R19" s="139"/>
    </row>
    <row r="20" spans="1:18" ht="24.75" customHeight="1" x14ac:dyDescent="0.2">
      <c r="A20" s="190" t="s">
        <v>13</v>
      </c>
      <c r="B20" s="78">
        <f>'G Nut U'!C28+'Castor U'!B16+'Niger U'!B15+'Sesamum U'!B19+'Sunflower U'!C28+'Soyabean U'!B15</f>
        <v>6593</v>
      </c>
      <c r="C20" s="78">
        <f>'G Nut U'!D28+'Castor U'!C16+'Niger U'!C15+'Sesamum U'!C19+'Sunflower U'!D28+'Soyabean U'!C15</f>
        <v>6125</v>
      </c>
      <c r="D20" s="78">
        <f>'G Nut U'!E28+'Castor U'!D16+'Niger U'!D15+'Sesamum U'!D19+'Sunflower U'!E28+'Soyabean U'!D15</f>
        <v>5723</v>
      </c>
      <c r="E20" s="78">
        <f>'G Nut U'!F28+'Castor U'!E16+'Niger U'!E15+'Sesamum U'!E19+'Sunflower U'!F28+'Soyabean U'!E15</f>
        <v>5902</v>
      </c>
      <c r="F20" s="78">
        <f>'G Nut U'!G28+'Castor U'!F16+'Niger U'!F15+'Sesamum U'!F19+'Sunflower U'!G28+'Soyabean U'!F15</f>
        <v>6739</v>
      </c>
      <c r="G20" s="78">
        <f>'G Nut U'!H28+'Castor U'!G16+'Niger U'!G15+'Sesamum U'!G19+'Sunflower U'!H28+'Soyabean U'!G15</f>
        <v>5445.0224000000007</v>
      </c>
      <c r="H20" s="78">
        <f>'G Nut U'!I28+'Castor U'!H16+'Niger U'!H15+'Sesamum U'!H19+'Sunflower U'!I28+'Soyabean U'!H15</f>
        <v>7226</v>
      </c>
      <c r="I20" s="78">
        <f>'G Nut U'!J28+'Castor U'!I16+'Niger U'!I15+'Sesamum U'!I19+'Sunflower U'!J28+'Soyabean U'!I15</f>
        <v>5873</v>
      </c>
      <c r="J20" s="78">
        <f>'G Nut U'!K28+'Castor U'!J16+'Niger U'!J15+'Sesamum U'!J19+'Sunflower U'!K28+'Soyabean U'!J15</f>
        <v>7214.5779999999995</v>
      </c>
      <c r="K20" s="78">
        <f>'G Nut U'!L28+'Castor U'!K16+'Niger U'!K15+'Sesamum U'!K19+'Sunflower U'!L28+'Soyabean U'!K15</f>
        <v>5362.1729999999998</v>
      </c>
      <c r="L20" s="200">
        <f t="shared" si="0"/>
        <v>825.87932655847123</v>
      </c>
      <c r="M20" s="200">
        <f t="shared" si="1"/>
        <v>1179.7551020408164</v>
      </c>
      <c r="N20" s="200">
        <f t="shared" si="2"/>
        <v>1026.2100297047002</v>
      </c>
      <c r="O20" s="200">
        <f t="shared" si="3"/>
        <v>1222.3954591663842</v>
      </c>
      <c r="P20" s="200">
        <f t="shared" si="3"/>
        <v>795.69268437453627</v>
      </c>
      <c r="Q20" s="139"/>
      <c r="R20" s="139"/>
    </row>
    <row r="21" spans="1:18" ht="24.75" customHeight="1" x14ac:dyDescent="0.2">
      <c r="A21" s="190" t="s">
        <v>14</v>
      </c>
      <c r="B21" s="78">
        <f>'G Nut U'!C31+'Castor U'!B17+'Niger U'!B16+'Sesamum U'!B20+'Sunflower U'!C31+'Soyabean U'!B16</f>
        <v>4007</v>
      </c>
      <c r="C21" s="78">
        <f>'G Nut U'!D31+'Castor U'!C17+'Niger U'!C16+'Sesamum U'!C20+'Sunflower U'!D31+'Soyabean U'!C16</f>
        <v>4151.4000000000005</v>
      </c>
      <c r="D21" s="78">
        <f>'G Nut U'!E31+'Castor U'!D17+'Niger U'!D16+'Sesamum U'!D20+'Sunflower U'!E31+'Soyabean U'!D16</f>
        <v>4001</v>
      </c>
      <c r="E21" s="78">
        <f>'G Nut U'!F31+'Castor U'!E17+'Niger U'!E16+'Sesamum U'!E20+'Sunflower U'!F31+'Soyabean U'!E16</f>
        <v>4376.5</v>
      </c>
      <c r="F21" s="78">
        <f>'G Nut U'!G31+'Castor U'!F17+'Niger U'!F16+'Sesamum U'!F20+'Sunflower U'!G31+'Soyabean U'!F16</f>
        <v>4409.1000000000004</v>
      </c>
      <c r="G21" s="78">
        <f>'G Nut U'!H31+'Castor U'!G17+'Niger U'!G16+'Sesamum U'!G20+'Sunflower U'!H31+'Soyabean U'!G16</f>
        <v>2291.0884999999998</v>
      </c>
      <c r="H21" s="78">
        <f>'G Nut U'!I31+'Castor U'!H17+'Niger U'!H16+'Sesamum U'!H20+'Sunflower U'!I31+'Soyabean U'!H16</f>
        <v>4891.7</v>
      </c>
      <c r="I21" s="78">
        <f>'G Nut U'!J31+'Castor U'!I17+'Niger U'!I16+'Sesamum U'!I20+'Sunflower U'!J31+'Soyabean U'!I16</f>
        <v>4098.3029999999999</v>
      </c>
      <c r="J21" s="78">
        <f>'G Nut U'!K31+'Castor U'!J17+'Niger U'!J16+'Sesamum U'!J20+'Sunflower U'!K31+'Soyabean U'!J16</f>
        <v>4830.2124999999996</v>
      </c>
      <c r="K21" s="78">
        <f>'G Nut U'!L31+'Castor U'!K17+'Niger U'!K16+'Sesamum U'!K20+'Sunflower U'!L31+'Soyabean U'!K16</f>
        <v>5033.4014100000004</v>
      </c>
      <c r="L21" s="200">
        <f t="shared" si="0"/>
        <v>571.77152483154475</v>
      </c>
      <c r="M21" s="200">
        <f t="shared" si="1"/>
        <v>1178.325384207737</v>
      </c>
      <c r="N21" s="200">
        <f t="shared" si="2"/>
        <v>1024.3196700824792</v>
      </c>
      <c r="O21" s="200">
        <f t="shared" si="3"/>
        <v>1103.6701702273506</v>
      </c>
      <c r="P21" s="200">
        <f t="shared" si="3"/>
        <v>1141.5938422807374</v>
      </c>
      <c r="Q21" s="139"/>
      <c r="R21" s="139"/>
    </row>
    <row r="22" spans="1:18" ht="24.75" customHeight="1" x14ac:dyDescent="0.2">
      <c r="A22" s="190" t="s">
        <v>36</v>
      </c>
      <c r="B22" s="78">
        <f>'G Nut U'!C34+'Sesamum U'!B21+'Soyabean U'!B17</f>
        <v>5.1100000000000003</v>
      </c>
      <c r="C22" s="78">
        <f>'G Nut U'!D34+'Sesamum U'!C21+'Soyabean U'!C17</f>
        <v>5.1100000000000003</v>
      </c>
      <c r="D22" s="78">
        <f>'G Nut U'!E34+'Sesamum U'!D21+'Soyabean U'!D17</f>
        <v>5.07</v>
      </c>
      <c r="E22" s="78">
        <f>'G Nut U'!F34+'Sesamum U'!E21+'Soyabean U'!E17</f>
        <v>4.9000000000000004</v>
      </c>
      <c r="F22" s="78">
        <f>'G Nut U'!G34+'Sesamum U'!F21+'Soyabean U'!F17</f>
        <v>6.88</v>
      </c>
      <c r="G22" s="78">
        <f>'G Nut U'!H34+'Sesamum U'!G21+'Soyabean U'!G17</f>
        <v>4.28</v>
      </c>
      <c r="H22" s="78">
        <f>'G Nut U'!I34+'Sesamum U'!H21+'Soyabean U'!H17</f>
        <v>4.38</v>
      </c>
      <c r="I22" s="78">
        <f>'G Nut U'!J34+'Sesamum U'!I21+'Soyabean U'!I17</f>
        <v>4.5984900000000009</v>
      </c>
      <c r="J22" s="78">
        <f>'G Nut U'!K34+'Sesamum U'!J21+'Soyabean U'!J17</f>
        <v>4.4051</v>
      </c>
      <c r="K22" s="78">
        <f>'G Nut U'!L34+'Sesamum U'!K21+'Soyabean U'!K17</f>
        <v>5.9801799999999998</v>
      </c>
      <c r="L22" s="200">
        <f t="shared" si="0"/>
        <v>837.57338551859095</v>
      </c>
      <c r="M22" s="200">
        <f t="shared" si="1"/>
        <v>857.14285714285711</v>
      </c>
      <c r="N22" s="200">
        <f t="shared" si="2"/>
        <v>907.00000000000011</v>
      </c>
      <c r="O22" s="200">
        <f t="shared" si="3"/>
        <v>898.99999999999989</v>
      </c>
      <c r="P22" s="200">
        <f t="shared" si="3"/>
        <v>869.21220930232562</v>
      </c>
      <c r="Q22" s="139"/>
      <c r="R22" s="139"/>
    </row>
    <row r="23" spans="1:18" ht="24.75" customHeight="1" x14ac:dyDescent="0.2">
      <c r="A23" s="190" t="s">
        <v>37</v>
      </c>
      <c r="B23" s="78">
        <f>'Castor U'!B18+'Sesamum U'!B22+'Soyabean U'!B18</f>
        <v>4.0410000000000004</v>
      </c>
      <c r="C23" s="78">
        <f>'Castor U'!C18+'Sesamum U'!C22+'Soyabean U'!C18</f>
        <v>4.2799999999999994</v>
      </c>
      <c r="D23" s="78">
        <f>'Castor U'!D18+'Sesamum U'!D22+'Soyabean U'!D18</f>
        <v>4.3020000000000005</v>
      </c>
      <c r="E23" s="78">
        <f>'Castor U'!E18+'Sesamum U'!E22+'Soyabean U'!E18</f>
        <v>4.319</v>
      </c>
      <c r="F23" s="78">
        <f>'Castor U'!F18+'Sesamum U'!F22+'Soyabean U'!F18</f>
        <v>4.32</v>
      </c>
      <c r="G23" s="78">
        <f>'Castor U'!G18+'Sesamum U'!G22+'Soyabean U'!G18</f>
        <v>5.6669999999999998</v>
      </c>
      <c r="H23" s="78">
        <f>'Castor U'!H18+'Sesamum U'!H22+'Soyabean U'!H18</f>
        <v>5.6970000000000001</v>
      </c>
      <c r="I23" s="78">
        <f>'Castor U'!I18+'Sesamum U'!I22+'Soyabean U'!I18</f>
        <v>5.7964920000000006</v>
      </c>
      <c r="J23" s="78">
        <f>'Castor U'!J18+'Sesamum U'!J22+'Soyabean U'!J18</f>
        <v>5.8338230000000006</v>
      </c>
      <c r="K23" s="78">
        <f>'Castor U'!K18+'Sesamum U'!K22+'Soyabean U'!K18</f>
        <v>5.8479700000000001</v>
      </c>
      <c r="L23" s="200">
        <f t="shared" si="0"/>
        <v>1402.375649591685</v>
      </c>
      <c r="M23" s="200">
        <f t="shared" si="1"/>
        <v>1331.0747663551404</v>
      </c>
      <c r="N23" s="200">
        <f t="shared" si="2"/>
        <v>1347.3947001394699</v>
      </c>
      <c r="O23" s="200">
        <f t="shared" si="3"/>
        <v>1350.7346608011114</v>
      </c>
      <c r="P23" s="200">
        <f t="shared" si="3"/>
        <v>1353.6967592592594</v>
      </c>
      <c r="Q23" s="139"/>
      <c r="R23" s="139"/>
    </row>
    <row r="24" spans="1:18" ht="24.75" customHeight="1" x14ac:dyDescent="0.2">
      <c r="A24" s="190" t="s">
        <v>38</v>
      </c>
      <c r="B24" s="78">
        <f>'Sesamum U'!B23+'Soyabean U'!B19</f>
        <v>1.9159999999999999</v>
      </c>
      <c r="C24" s="78">
        <f>'Sesamum U'!C23+'Soyabean U'!C19</f>
        <v>1.8689999999999998</v>
      </c>
      <c r="D24" s="78">
        <f>'Sesamum U'!D23+'Soyabean U'!D19</f>
        <v>1.7736000000000001</v>
      </c>
      <c r="E24" s="78">
        <f>'Sesamum U'!E23+'Soyabean U'!E19</f>
        <v>1.782</v>
      </c>
      <c r="F24" s="78">
        <f>'Sesamum U'!F23+'Soyabean U'!F19</f>
        <v>1.877</v>
      </c>
      <c r="G24" s="78">
        <f>'Sesamum U'!G23+'Soyabean U'!G19</f>
        <v>2.2629999999999999</v>
      </c>
      <c r="H24" s="78">
        <f>'Sesamum U'!H23+'Soyabean U'!H19</f>
        <v>2.1760000000000002</v>
      </c>
      <c r="I24" s="78">
        <f>'Sesamum U'!I23+'Soyabean U'!I19</f>
        <v>2.0207999999999999</v>
      </c>
      <c r="J24" s="78">
        <f>'Sesamum U'!J23+'Soyabean U'!J19</f>
        <v>2.3460000000000001</v>
      </c>
      <c r="K24" s="78">
        <f>'Sesamum U'!K23+'Soyabean U'!K19</f>
        <v>2.3420000000000001</v>
      </c>
      <c r="L24" s="200">
        <f t="shared" si="0"/>
        <v>1181.1064718162838</v>
      </c>
      <c r="M24" s="200">
        <f t="shared" si="1"/>
        <v>1164.2589620117712</v>
      </c>
      <c r="N24" s="200">
        <f t="shared" si="2"/>
        <v>1139.3775372124492</v>
      </c>
      <c r="O24" s="200">
        <f t="shared" si="3"/>
        <v>1316.4983164983166</v>
      </c>
      <c r="P24" s="200">
        <f t="shared" si="3"/>
        <v>1247.7357485348962</v>
      </c>
      <c r="Q24" s="139"/>
      <c r="R24" s="139"/>
    </row>
    <row r="25" spans="1:18" ht="24.75" customHeight="1" x14ac:dyDescent="0.2">
      <c r="A25" s="190" t="s">
        <v>15</v>
      </c>
      <c r="B25" s="78">
        <f>'G Nut U'!C37+'Castor U'!B19+'Sesamum U'!B24+'Sunflower U'!C34+'Soyabean U'!B20</f>
        <v>30</v>
      </c>
      <c r="C25" s="78">
        <f>'G Nut U'!D37+'Castor U'!C19+'Sesamum U'!C24+'Sunflower U'!D34+'Soyabean U'!C20</f>
        <v>30.22</v>
      </c>
      <c r="D25" s="78">
        <f>'G Nut U'!E37+'Castor U'!D19+'Sesamum U'!D24+'Sunflower U'!E34+'Soyabean U'!D20</f>
        <v>30.369999999999997</v>
      </c>
      <c r="E25" s="78">
        <f>'G Nut U'!F37+'Castor U'!E19+'Sesamum U'!E24+'Sunflower U'!F34+'Soyabean U'!E20</f>
        <v>30.54</v>
      </c>
      <c r="F25" s="78">
        <f>'G Nut U'!G37+'Castor U'!F19+'Sesamum U'!F24+'Sunflower U'!G34+'Soyabean U'!F20</f>
        <v>31.680000000000003</v>
      </c>
      <c r="G25" s="78">
        <f>'G Nut U'!H37+'Castor U'!G19+'Sesamum U'!G24+'Sunflower U'!H34+'Soyabean U'!G20</f>
        <v>34.75</v>
      </c>
      <c r="H25" s="78">
        <f>'G Nut U'!I37+'Castor U'!H19+'Sesamum U'!H24+'Sunflower U'!I34+'Soyabean U'!H20</f>
        <v>35.1</v>
      </c>
      <c r="I25" s="78">
        <f>'G Nut U'!J37+'Castor U'!I19+'Sesamum U'!I24+'Sunflower U'!J34+'Soyabean U'!I20</f>
        <v>35.314500000000002</v>
      </c>
      <c r="J25" s="78">
        <f>'G Nut U'!K37+'Castor U'!J19+'Sesamum U'!J24+'Sunflower U'!K34+'Soyabean U'!J20</f>
        <v>35.509860000000003</v>
      </c>
      <c r="K25" s="78">
        <f>'G Nut U'!L37+'Castor U'!K19+'Sesamum U'!K24+'Sunflower U'!L34+'Soyabean U'!K20</f>
        <v>36.761980000000001</v>
      </c>
      <c r="L25" s="200">
        <f t="shared" si="0"/>
        <v>1158.3333333333335</v>
      </c>
      <c r="M25" s="200">
        <f t="shared" si="1"/>
        <v>1161.4824619457313</v>
      </c>
      <c r="N25" s="200">
        <f t="shared" si="2"/>
        <v>1162.8086927889367</v>
      </c>
      <c r="O25" s="200">
        <f t="shared" si="3"/>
        <v>1162.7328094302557</v>
      </c>
      <c r="P25" s="200">
        <f t="shared" si="3"/>
        <v>1160.4160353535353</v>
      </c>
      <c r="Q25" s="139"/>
      <c r="R25" s="139"/>
    </row>
    <row r="26" spans="1:18" ht="24.75" customHeight="1" x14ac:dyDescent="0.2">
      <c r="A26" s="190" t="s">
        <v>101</v>
      </c>
      <c r="B26" s="78">
        <f>'G Nut U'!C42+'Castor U'!B20+'Niger U'!B17+'Sesamum U'!B25+'Sunflower U'!C37+'Soyabean U'!B21</f>
        <v>113.09000000000002</v>
      </c>
      <c r="C26" s="78">
        <f>'G Nut U'!D42+'Castor U'!C20+'Niger U'!C17+'Sesamum U'!C25+'Sunflower U'!D37+'Soyabean U'!C21</f>
        <v>114.56000000000002</v>
      </c>
      <c r="D26" s="78">
        <f>'G Nut U'!E42+'Castor U'!D20+'Niger U'!D17+'Sesamum U'!D25+'Sunflower U'!E37+'Soyabean U'!D21</f>
        <v>98.25</v>
      </c>
      <c r="E26" s="78">
        <f>'G Nut U'!F42+'Castor U'!E20+'Niger U'!E17+'Sesamum U'!E25+'Sunflower U'!F37+'Soyabean U'!E21</f>
        <v>88.41</v>
      </c>
      <c r="F26" s="78">
        <f>'G Nut U'!G42+'Castor U'!F20+'Niger U'!F17+'Sesamum U'!F25+'Sunflower U'!G37+'Soyabean U'!F21</f>
        <v>85.539999999999992</v>
      </c>
      <c r="G26" s="78">
        <f>'G Nut U'!H42+'Castor U'!G20+'Niger U'!G17+'Sesamum U'!G25+'Sunflower U'!H37+'Soyabean U'!G21</f>
        <v>48.89</v>
      </c>
      <c r="H26" s="78">
        <f>'G Nut U'!I42+'Castor U'!H20+'Niger U'!H17+'Sesamum U'!H25+'Sunflower U'!I37+'Soyabean U'!H21</f>
        <v>58.92</v>
      </c>
      <c r="I26" s="78">
        <f>'G Nut U'!J42+'Castor U'!I20+'Niger U'!I17+'Sesamum U'!I25+'Sunflower U'!J37+'Soyabean U'!I21</f>
        <v>46.419110000000003</v>
      </c>
      <c r="J26" s="78">
        <f>'G Nut U'!K42+'Castor U'!J20+'Niger U'!J17+'Sesamum U'!J25+'Sunflower U'!K37+'Soyabean U'!J21</f>
        <v>41.629220000000004</v>
      </c>
      <c r="K26" s="78">
        <f>'G Nut U'!L42+'Castor U'!K20+'Niger U'!K17+'Sesamum U'!K25+'Sunflower U'!L37+'Soyabean U'!K21</f>
        <v>42.200449999999996</v>
      </c>
      <c r="L26" s="200">
        <f t="shared" si="0"/>
        <v>432.3105491201697</v>
      </c>
      <c r="M26" s="200">
        <f t="shared" si="1"/>
        <v>514.31564245810046</v>
      </c>
      <c r="N26" s="200">
        <f t="shared" si="2"/>
        <v>472.45913486005094</v>
      </c>
      <c r="O26" s="200">
        <f t="shared" si="3"/>
        <v>470.86551295102367</v>
      </c>
      <c r="P26" s="200">
        <f t="shared" si="3"/>
        <v>493.34171148000939</v>
      </c>
      <c r="Q26" s="139"/>
      <c r="R26" s="139"/>
    </row>
    <row r="27" spans="1:18" ht="24.75" customHeight="1" x14ac:dyDescent="0.2">
      <c r="A27" s="190" t="s">
        <v>17</v>
      </c>
      <c r="B27" s="78">
        <f>'G Nut U'!C45+'Sesamum U'!B26</f>
        <v>5.7</v>
      </c>
      <c r="C27" s="78">
        <f>'G Nut U'!D45+'Sesamum U'!C26</f>
        <v>4.2</v>
      </c>
      <c r="D27" s="78">
        <f>'G Nut U'!E45+'Sesamum U'!D26</f>
        <v>3.9000000000000004</v>
      </c>
      <c r="E27" s="78">
        <f>'G Nut U'!F45+'Sesamum U'!E26</f>
        <v>4.2</v>
      </c>
      <c r="F27" s="78">
        <f>'G Nut U'!G45+'Sesamum U'!F26</f>
        <v>4.4000000000000004</v>
      </c>
      <c r="G27" s="78">
        <f>'G Nut U'!H45+'Sesamum U'!G26</f>
        <v>3.5</v>
      </c>
      <c r="H27" s="78">
        <f>'G Nut U'!I45+'Sesamum U'!H26</f>
        <v>3.4</v>
      </c>
      <c r="I27" s="78">
        <f>'G Nut U'!J45+'Sesamum U'!I26</f>
        <v>3.2687999999999997</v>
      </c>
      <c r="J27" s="78">
        <f>'G Nut U'!K45+'Sesamum U'!J26</f>
        <v>3.3656999999999999</v>
      </c>
      <c r="K27" s="78">
        <f>'G Nut U'!L45+'Sesamum U'!K26</f>
        <v>4.5078000000000005</v>
      </c>
      <c r="L27" s="200">
        <f t="shared" si="0"/>
        <v>614.0350877192983</v>
      </c>
      <c r="M27" s="200">
        <f t="shared" si="1"/>
        <v>809.5238095238094</v>
      </c>
      <c r="N27" s="200">
        <f t="shared" si="2"/>
        <v>838.15384615384608</v>
      </c>
      <c r="O27" s="200">
        <f t="shared" si="3"/>
        <v>801.35714285714278</v>
      </c>
      <c r="P27" s="200">
        <f t="shared" si="3"/>
        <v>1024.5</v>
      </c>
      <c r="Q27" s="139"/>
      <c r="R27" s="139"/>
    </row>
    <row r="28" spans="1:18" ht="24.75" customHeight="1" x14ac:dyDescent="0.2">
      <c r="A28" s="190" t="s">
        <v>18</v>
      </c>
      <c r="B28" s="78">
        <f>'G Nut U'!C46+'Castor U'!B21+'Sesamum U'!B27+'Soyabean U'!B22</f>
        <v>2279.7860000000001</v>
      </c>
      <c r="C28" s="78">
        <f>'G Nut U'!D46+'Castor U'!C21+'Sesamum U'!C27+'Soyabean U'!C22</f>
        <v>2021.0889999999999</v>
      </c>
      <c r="D28" s="78">
        <f>'G Nut U'!E46+'Castor U'!D21+'Sesamum U'!D27+'Soyabean U'!D22</f>
        <v>1921.4470000000001</v>
      </c>
      <c r="E28" s="78">
        <f>'G Nut U'!F46+'Castor U'!E21+'Sesamum U'!E27+'Soyabean U'!E22</f>
        <v>1983.644</v>
      </c>
      <c r="F28" s="78">
        <f>'G Nut U'!G46+'Castor U'!F21+'Sesamum U'!F27+'Soyabean U'!F22</f>
        <v>2337.1369999999997</v>
      </c>
      <c r="G28" s="78">
        <f>'G Nut U'!H46+'Castor U'!G21+'Sesamum U'!G27+'Soyabean U'!G22</f>
        <v>2432.6418169999997</v>
      </c>
      <c r="H28" s="78">
        <f>'G Nut U'!I46+'Castor U'!H21+'Sesamum U'!H27+'Soyabean U'!H22</f>
        <v>2555.846</v>
      </c>
      <c r="I28" s="78">
        <f>'G Nut U'!J46+'Castor U'!I21+'Sesamum U'!I27+'Soyabean U'!I22</f>
        <v>2564.9428120000002</v>
      </c>
      <c r="J28" s="78">
        <f>'G Nut U'!K46+'Castor U'!J21+'Sesamum U'!J27+'Soyabean U'!J22</f>
        <v>2835.7883609999999</v>
      </c>
      <c r="K28" s="78">
        <f>'G Nut U'!L46+'Castor U'!K21+'Sesamum U'!K27+'Soyabean U'!K22</f>
        <v>2555.1989360000002</v>
      </c>
      <c r="L28" s="200">
        <f t="shared" si="0"/>
        <v>1067.048318131614</v>
      </c>
      <c r="M28" s="200">
        <f t="shared" si="1"/>
        <v>1264.5885460759027</v>
      </c>
      <c r="N28" s="200">
        <f t="shared" si="2"/>
        <v>1334.9016715006971</v>
      </c>
      <c r="O28" s="200">
        <f t="shared" si="3"/>
        <v>1429.5853293232051</v>
      </c>
      <c r="P28" s="200">
        <f t="shared" si="3"/>
        <v>1093.3030181799356</v>
      </c>
      <c r="Q28" s="139"/>
      <c r="R28" s="139"/>
    </row>
    <row r="29" spans="1:18" ht="24.75" customHeight="1" x14ac:dyDescent="0.2">
      <c r="A29" s="190" t="s">
        <v>51</v>
      </c>
      <c r="B29" s="78">
        <f>'Soyabean U'!B23</f>
        <v>3.28</v>
      </c>
      <c r="C29" s="78">
        <f>'Soyabean U'!C23</f>
        <v>3.28</v>
      </c>
      <c r="D29" s="78">
        <f>'Soyabean U'!D23</f>
        <v>3.0710000000000002</v>
      </c>
      <c r="E29" s="78">
        <f>'Soyabean U'!E23</f>
        <v>2.9620000000000002</v>
      </c>
      <c r="F29" s="78">
        <f>'Soyabean U'!F23</f>
        <v>2.9289999999999998</v>
      </c>
      <c r="G29" s="78">
        <f>'Soyabean U'!G23</f>
        <v>3.19</v>
      </c>
      <c r="H29" s="78">
        <f>'Soyabean U'!H23</f>
        <v>3.198</v>
      </c>
      <c r="I29" s="78">
        <f>'Soyabean U'!I23</f>
        <v>2.9942250000000006</v>
      </c>
      <c r="J29" s="78">
        <f>'Soyabean U'!J23</f>
        <v>2.8909120000000001</v>
      </c>
      <c r="K29" s="78">
        <f>'Soyabean U'!K23</f>
        <v>2.86</v>
      </c>
      <c r="L29" s="200">
        <f t="shared" si="0"/>
        <v>972.56097560975616</v>
      </c>
      <c r="M29" s="200">
        <f t="shared" si="1"/>
        <v>975.00000000000011</v>
      </c>
      <c r="N29" s="200">
        <f t="shared" si="2"/>
        <v>975.00000000000011</v>
      </c>
      <c r="O29" s="200">
        <f t="shared" si="3"/>
        <v>976</v>
      </c>
      <c r="P29" s="200">
        <f t="shared" si="3"/>
        <v>976.4424718333903</v>
      </c>
      <c r="Q29" s="139"/>
      <c r="R29" s="139"/>
    </row>
    <row r="30" spans="1:18" ht="24.75" customHeight="1" x14ac:dyDescent="0.2">
      <c r="A30" s="190" t="s">
        <v>19</v>
      </c>
      <c r="B30" s="78">
        <f>'G Nut U'!C49+'Castor U'!B22+'Niger U'!B18+'Sesamum U'!B28+'Sunflower U'!C42+'Soyabean U'!B24</f>
        <v>276.58</v>
      </c>
      <c r="C30" s="78">
        <f>'G Nut U'!D49+'Castor U'!C22+'Niger U'!C18+'Sesamum U'!C28+'Sunflower U'!D42+'Soyabean U'!C24</f>
        <v>229.62</v>
      </c>
      <c r="D30" s="78">
        <f>'G Nut U'!E49+'Castor U'!D22+'Niger U'!D18+'Sesamum U'!D28+'Sunflower U'!E42+'Soyabean U'!D24</f>
        <v>235.04</v>
      </c>
      <c r="E30" s="78">
        <f>'G Nut U'!F49+'Castor U'!E22+'Niger U'!E18+'Sesamum U'!E28+'Sunflower U'!F42+'Soyabean U'!E24</f>
        <v>246.39999999999998</v>
      </c>
      <c r="F30" s="78">
        <f>'G Nut U'!G49+'Castor U'!F22+'Sesamum U'!F28+'Soyabean U'!F24+'Sunflower U'!G42</f>
        <v>267.60000000000002</v>
      </c>
      <c r="G30" s="78">
        <f>'G Nut U'!H49+'Castor U'!G22+'Niger U'!G18+'Sesamum U'!G28+'Sunflower U'!H42+'Soyabean U'!G24</f>
        <v>518.4799999999999</v>
      </c>
      <c r="H30" s="78">
        <f>'G Nut U'!I49+'Castor U'!H22+'Niger U'!H18+'Sesamum U'!H28+'Sunflower U'!I42+'Soyabean U'!H24</f>
        <v>319.18</v>
      </c>
      <c r="I30" s="78">
        <f>'G Nut U'!J49+'Castor U'!I22+'Niger U'!I18+'Sesamum U'!I28+'Sunflower U'!J42+'Soyabean U'!I24</f>
        <v>489.30161999999996</v>
      </c>
      <c r="J30" s="78">
        <f>'G Nut U'!K49+'Castor U'!J22+'Niger U'!J18+'Sesamum U'!J28+'Sunflower U'!K42+'Soyabean U'!J24</f>
        <v>453.07631999999995</v>
      </c>
      <c r="K30" s="78">
        <f>'G Nut U'!L49+'Castor U'!K22+'Niger U'!K18+'Sesamum U'!K28+'Sunflower U'!L42+'Soyabean U'!K24</f>
        <v>556.78878999999995</v>
      </c>
      <c r="L30" s="200">
        <f t="shared" si="0"/>
        <v>1874.6113240292136</v>
      </c>
      <c r="M30" s="200">
        <f t="shared" si="1"/>
        <v>1390.0357111749847</v>
      </c>
      <c r="N30" s="200">
        <f t="shared" si="2"/>
        <v>2081.7802076242342</v>
      </c>
      <c r="O30" s="200">
        <f t="shared" si="3"/>
        <v>1838.7837662337663</v>
      </c>
      <c r="P30" s="200">
        <f t="shared" si="3"/>
        <v>2080.6755979073241</v>
      </c>
      <c r="Q30" s="139"/>
      <c r="R30" s="139"/>
    </row>
    <row r="31" spans="1:18" ht="24.75" customHeight="1" x14ac:dyDescent="0.2">
      <c r="A31" s="190" t="s">
        <v>103</v>
      </c>
      <c r="B31" s="78">
        <f>'G Nut U'!C52+'Castor U'!B23+'Sesamum U'!B29+'Soyabean U'!B25+'Sunflower U'!C45</f>
        <v>320</v>
      </c>
      <c r="C31" s="78">
        <f>'G Nut U'!D52+'Castor U'!C23+'Sesamum U'!C29+'Soyabean U'!C25+'Sunflower U'!D45</f>
        <v>370</v>
      </c>
      <c r="D31" s="78">
        <f>'G Nut U'!E52+'Castor U'!D23+'Sesamum U'!D29+'Soyabean U'!D25+'Sunflower U'!E45</f>
        <v>218</v>
      </c>
      <c r="E31" s="78">
        <f>'G Nut U'!F52+'Castor U'!E23+'Sesamum U'!E29+'Soyabean U'!E25+'Sunflower U'!F45</f>
        <v>199</v>
      </c>
      <c r="F31" s="78">
        <f>'G Nut U'!G52+'Castor U'!F23+'Sesamum U'!F29+'Soyabean U'!F25+'Sunflower U'!G45</f>
        <v>233</v>
      </c>
      <c r="G31" s="78">
        <f>'G Nut U'!H52+'Castor U'!G23+'Sesamum U'!G29+'Soyabean U'!G25+'Sunflower U'!H45</f>
        <v>294</v>
      </c>
      <c r="H31" s="78">
        <f>'G Nut U'!I52+'Castor U'!H23+'Sesamum U'!H29+'Soyabean U'!H25+'Sunflower U'!I45</f>
        <v>416</v>
      </c>
      <c r="I31" s="78">
        <f>'G Nut U'!J52+'Castor U'!I23+'Sesamum U'!I29+'Soyabean U'!I25+'Sunflower U'!J45</f>
        <v>329.90300000000002</v>
      </c>
      <c r="J31" s="78">
        <f>'G Nut U'!K52+'Castor U'!J23+'Sesamum U'!J29+'Soyabean U'!J25+'Sunflower U'!K45</f>
        <v>294.40999999999997</v>
      </c>
      <c r="K31" s="78">
        <f>'G Nut U'!L52+'Castor U'!K23+'Sesamum U'!K29+'Soyabean U'!K25+'Sunflower U'!L45</f>
        <v>393.928</v>
      </c>
      <c r="L31" s="200">
        <f t="shared" si="0"/>
        <v>918.75</v>
      </c>
      <c r="M31" s="200">
        <f t="shared" si="1"/>
        <v>1124.3243243243244</v>
      </c>
      <c r="N31" s="200">
        <f t="shared" si="2"/>
        <v>1513.3165137614678</v>
      </c>
      <c r="O31" s="200">
        <f t="shared" si="3"/>
        <v>1479.4472361809044</v>
      </c>
      <c r="P31" s="200">
        <f t="shared" si="3"/>
        <v>1690.6781115879828</v>
      </c>
      <c r="Q31" s="139"/>
      <c r="R31" s="139"/>
    </row>
    <row r="32" spans="1:18" ht="24.75" customHeight="1" x14ac:dyDescent="0.2">
      <c r="A32" s="190" t="s">
        <v>52</v>
      </c>
      <c r="B32" s="78">
        <f>'G Nut U'!C55+'Sesamum U'!B30+'Soyabean U'!B26</f>
        <v>4.4270000000000005</v>
      </c>
      <c r="C32" s="78">
        <f>'G Nut U'!D55+'Sesamum U'!C30+'Soyabean U'!C26</f>
        <v>6.7229999999999999</v>
      </c>
      <c r="D32" s="78">
        <f>'G Nut U'!E55+'Sesamum U'!D30+'Soyabean U'!D26</f>
        <v>8.6530000000000005</v>
      </c>
      <c r="E32" s="78">
        <f>'G Nut U'!F55+'Sesamum U'!E30+'Soyabean U'!E26</f>
        <v>8.3250000000000011</v>
      </c>
      <c r="F32" s="78">
        <f>'G Nut U'!G55+'Sesamum U'!F30+'Soyabean U'!F26</f>
        <v>8.020999999999999</v>
      </c>
      <c r="G32" s="78">
        <f>'G Nut U'!H55+'Sesamum U'!G30+'Soyabean U'!G26</f>
        <v>2.867</v>
      </c>
      <c r="H32" s="78">
        <f>'G Nut U'!I55+'Sesamum U'!H30+'Soyabean U'!H26</f>
        <v>4.6310000000000002</v>
      </c>
      <c r="I32" s="78">
        <f>'G Nut U'!J55+'Sesamum U'!I30+'Soyabean U'!I26</f>
        <v>5.8574539999999997</v>
      </c>
      <c r="J32" s="78">
        <f>'G Nut U'!K55+'Sesamum U'!J30+'Soyabean U'!J26</f>
        <v>6.0794359999999994</v>
      </c>
      <c r="K32" s="78">
        <f>'G Nut U'!L55+'Sesamum U'!K30+'Soyabean U'!K26</f>
        <v>5.9700000000000006</v>
      </c>
      <c r="L32" s="200">
        <f t="shared" si="0"/>
        <v>647.61689631804836</v>
      </c>
      <c r="M32" s="200">
        <f t="shared" si="1"/>
        <v>688.82939164063669</v>
      </c>
      <c r="N32" s="200">
        <f t="shared" si="2"/>
        <v>676.92753958164781</v>
      </c>
      <c r="O32" s="200">
        <f t="shared" si="3"/>
        <v>730.26258258258235</v>
      </c>
      <c r="P32" s="200">
        <f t="shared" si="3"/>
        <v>744.29622241615778</v>
      </c>
      <c r="Q32" s="17"/>
      <c r="R32" s="17"/>
    </row>
    <row r="33" spans="1:18" ht="24.75" customHeight="1" x14ac:dyDescent="0.2">
      <c r="A33" s="190" t="s">
        <v>22</v>
      </c>
      <c r="B33" s="78">
        <f>'G Nut U'!C58+'Sesamum U'!B31+'Soyabean U'!B27</f>
        <v>679</v>
      </c>
      <c r="C33" s="78">
        <f>'G Nut U'!D58+'Sesamum U'!C31+'Soyabean U'!C27</f>
        <v>475.2</v>
      </c>
      <c r="D33" s="78">
        <f>'G Nut U'!E58+'Sesamum U'!D31+'Soyabean U'!D27</f>
        <v>380</v>
      </c>
      <c r="E33" s="78">
        <f>'G Nut U'!F58+'Sesamum U'!E31+'Soyabean U'!E27</f>
        <v>451</v>
      </c>
      <c r="F33" s="78">
        <f>'G Nut U'!G58+'Sesamum U'!F31+'Soyabean U'!F27</f>
        <v>472</v>
      </c>
      <c r="G33" s="78">
        <f>'G Nut U'!H58+'Sesamum U'!G31+'Soyabean U'!G27</f>
        <v>249.69480000000001</v>
      </c>
      <c r="H33" s="78">
        <f>'G Nut U'!I58+'Sesamum U'!H31+'Soyabean U'!H27</f>
        <v>171.22280000000001</v>
      </c>
      <c r="I33" s="78">
        <f>'G Nut U'!J58+'Sesamum U'!I31+'Soyabean U'!I27</f>
        <v>182.03199999999998</v>
      </c>
      <c r="J33" s="78">
        <f>'G Nut U'!K58+'Sesamum U'!J31+'Soyabean U'!J27</f>
        <v>195.01900000000001</v>
      </c>
      <c r="K33" s="78">
        <f>'G Nut U'!L58+'Sesamum U'!K31+'Soyabean U'!K27</f>
        <v>165.33800000000002</v>
      </c>
      <c r="L33" s="200">
        <f t="shared" si="0"/>
        <v>367.739027982327</v>
      </c>
      <c r="M33" s="200">
        <f t="shared" si="1"/>
        <v>360.31734006734007</v>
      </c>
      <c r="N33" s="200">
        <f t="shared" si="2"/>
        <v>479.03157894736836</v>
      </c>
      <c r="O33" s="200">
        <f t="shared" si="3"/>
        <v>432.41463414634148</v>
      </c>
      <c r="P33" s="200">
        <f t="shared" si="3"/>
        <v>350.29237288135602</v>
      </c>
      <c r="Q33" s="139"/>
      <c r="R33" s="139"/>
    </row>
    <row r="34" spans="1:18" ht="24.75" customHeight="1" x14ac:dyDescent="0.2">
      <c r="A34" s="190" t="s">
        <v>84</v>
      </c>
      <c r="B34" s="78">
        <f>'G Nut U'!D59+'Castor U'!B24+'Sesamum U'!B32+'Soyabean U'!B28</f>
        <v>16.489999999999998</v>
      </c>
      <c r="C34" s="78">
        <f>'G Nut U'!E59+'Castor U'!C24+'Sesamum U'!C32+'Soyabean U'!C28</f>
        <v>15</v>
      </c>
      <c r="D34" s="78">
        <f>'G Nut U'!F59+'Castor U'!D24+'Sesamum U'!D32+'Soyabean U'!D28</f>
        <v>13</v>
      </c>
      <c r="E34" s="78">
        <f>'G Nut U'!G59+'Castor U'!E24+'Sesamum U'!E32+'Soyabean U'!E28</f>
        <v>12</v>
      </c>
      <c r="F34" s="78">
        <f>'G Nut U'!H59+'Castor U'!F24+'Sesamum U'!F32+'Soyabean U'!F28</f>
        <v>11.5</v>
      </c>
      <c r="G34" s="78">
        <f>'G Nut U'!H59+'Castor U'!G24+'Sesamum U'!G32+'Soyabean U'!G28</f>
        <v>20.119999999999997</v>
      </c>
      <c r="H34" s="78">
        <f>'G Nut U'!I59+'Castor U'!H24+'Sesamum U'!H32+'Soyabean U'!H28</f>
        <v>15</v>
      </c>
      <c r="I34" s="78">
        <f>'G Nut U'!J59+'Castor U'!I24+'Sesamum U'!I32+'Soyabean U'!I28</f>
        <v>13.863</v>
      </c>
      <c r="J34" s="78">
        <f>'G Nut U'!K59+'Castor U'!J24+'Sesamum U'!J32+'Soyabean U'!J28</f>
        <v>11.237</v>
      </c>
      <c r="K34" s="78">
        <f>'G Nut U'!L59+'Castor U'!K24+'Sesamum U'!K32+'Soyabean U'!K28</f>
        <v>10.579000000000001</v>
      </c>
      <c r="L34" s="200">
        <f t="shared" si="0"/>
        <v>1220.1334141904183</v>
      </c>
      <c r="M34" s="200">
        <f t="shared" si="1"/>
        <v>1000</v>
      </c>
      <c r="N34" s="200">
        <f t="shared" si="2"/>
        <v>1066.3846153846152</v>
      </c>
      <c r="O34" s="200">
        <f t="shared" si="3"/>
        <v>936.41666666666663</v>
      </c>
      <c r="P34" s="200">
        <f t="shared" si="3"/>
        <v>919.91304347826099</v>
      </c>
      <c r="Q34" s="139"/>
      <c r="R34" s="139"/>
    </row>
    <row r="35" spans="1:18" ht="24.75" customHeight="1" x14ac:dyDescent="0.2">
      <c r="A35" s="190" t="s">
        <v>23</v>
      </c>
      <c r="B35" s="78">
        <f>'G Nut U'!C60+'Castor U'!B25+'Niger U'!B20+'Sesamum U'!B33+'Sunflower U'!C49+'Soyabean U'!B29</f>
        <v>234.352</v>
      </c>
      <c r="C35" s="78">
        <f>'G Nut U'!D60+'Castor U'!C25+'Niger U'!C20+'Sesamum U'!C33+'Sunflower U'!D49+'Soyabean U'!C29</f>
        <v>239.75699999999998</v>
      </c>
      <c r="D35" s="78">
        <f>'G Nut U'!E60+'Castor U'!D25+'Niger U'!D20+'Sesamum U'!D33+'Sunflower U'!E49+'Soyabean U'!D29</f>
        <v>248.78000000000003</v>
      </c>
      <c r="E35" s="78">
        <f>'G Nut U'!F60+'Castor U'!E25+'Niger U'!E20+'Sesamum U'!E33+'Sunflower U'!F49+'Soyabean U'!E29</f>
        <v>245.41</v>
      </c>
      <c r="F35" s="78">
        <f>'G Nut U'!G60+'Castor U'!F25+'Niger U'!F20+'Sesamum U'!F33+'Sunflower U'!G49+'Soyabean U'!F29</f>
        <v>268.73400000000004</v>
      </c>
      <c r="G35" s="78">
        <f>'G Nut U'!H60+'Castor U'!G25+'Niger U'!G20+'Sesamum U'!G33+'Sunflower U'!H49+'Soyabean U'!G29</f>
        <v>219.48500000000001</v>
      </c>
      <c r="H35" s="78">
        <f>'G Nut U'!I60+'Castor U'!H25+'Niger U'!H20+'Sesamum U'!H33+'Sunflower U'!I49+'Soyabean U'!H29</f>
        <v>222.78900000000002</v>
      </c>
      <c r="I35" s="78">
        <f>'G Nut U'!J60+'Castor U'!I25+'Niger U'!I20+'Sesamum U'!I33+'Sunflower U'!J49+'Soyabean U'!I29</f>
        <v>234.71</v>
      </c>
      <c r="J35" s="78">
        <f>'G Nut U'!K60+'Castor U'!J25+'Niger U'!J20+'Sesamum U'!J33+'Sunflower U'!K49+'Soyabean U'!J29</f>
        <v>235.31168399999999</v>
      </c>
      <c r="K35" s="78">
        <f>'G Nut U'!L60+'Castor U'!K25+'Niger U'!K20+'Sesamum U'!K33+'Sunflower U'!L49+'Soyabean U'!K29</f>
        <v>140.161191</v>
      </c>
      <c r="L35" s="200">
        <f t="shared" si="0"/>
        <v>936.56124120980405</v>
      </c>
      <c r="M35" s="200">
        <f t="shared" si="1"/>
        <v>929.22834369799432</v>
      </c>
      <c r="N35" s="200">
        <f t="shared" si="2"/>
        <v>943.44400675295435</v>
      </c>
      <c r="O35" s="200">
        <f t="shared" si="3"/>
        <v>958.85124485554786</v>
      </c>
      <c r="P35" s="200">
        <f t="shared" si="3"/>
        <v>521.56106410056032</v>
      </c>
      <c r="Q35" s="139"/>
      <c r="R35" s="139"/>
    </row>
    <row r="36" spans="1:18" ht="24.75" customHeight="1" x14ac:dyDescent="0.2">
      <c r="A36" s="190" t="s">
        <v>102</v>
      </c>
      <c r="B36" s="78">
        <f>'Sesamum U'!B34</f>
        <v>3.5000000000000003E-2</v>
      </c>
      <c r="C36" s="78">
        <f>'Sesamum U'!C34</f>
        <v>4.0000000000000001E-3</v>
      </c>
      <c r="D36" s="78">
        <f>'Sesamum U'!D34</f>
        <v>2.3000000000000001E-4</v>
      </c>
      <c r="E36" s="78">
        <f>'Sesamum U'!E34</f>
        <v>1.1999999999999999E-3</v>
      </c>
      <c r="F36" s="78">
        <f>'Sesamum U'!F34</f>
        <v>0</v>
      </c>
      <c r="G36" s="78">
        <f>'Sesamum U'!G34</f>
        <v>6.7000000000000002E-3</v>
      </c>
      <c r="H36" s="78">
        <f>'Sesamum U'!H34</f>
        <v>1.0499999999999999E-3</v>
      </c>
      <c r="I36" s="78">
        <f>'Sesamum U'!I34</f>
        <v>2.6979E-4</v>
      </c>
      <c r="J36" s="78">
        <f>'Sesamum U'!J34</f>
        <v>2.9999999999999997E-4</v>
      </c>
      <c r="K36" s="78">
        <f>'Sesamum U'!K34</f>
        <v>0</v>
      </c>
      <c r="L36" s="200">
        <f t="shared" si="0"/>
        <v>191.42857142857142</v>
      </c>
      <c r="M36" s="200">
        <f t="shared" si="1"/>
        <v>262.49999999999994</v>
      </c>
      <c r="N36" s="200">
        <f t="shared" si="2"/>
        <v>1173</v>
      </c>
      <c r="O36" s="200">
        <f t="shared" si="3"/>
        <v>250</v>
      </c>
      <c r="P36" s="200" t="e">
        <f t="shared" si="3"/>
        <v>#DIV/0!</v>
      </c>
      <c r="Q36" s="139"/>
      <c r="R36" s="139"/>
    </row>
    <row r="37" spans="1:18" ht="24.75" customHeight="1" x14ac:dyDescent="0.2">
      <c r="A37" s="190" t="s">
        <v>82</v>
      </c>
      <c r="B37" s="78">
        <f>'Niger U'!B21+'Sesamum U'!B35</f>
        <v>0</v>
      </c>
      <c r="C37" s="78">
        <f>'Niger U'!C21+'Sesamum U'!C35</f>
        <v>3.5999999999999997E-2</v>
      </c>
      <c r="D37" s="78">
        <f>'Niger U'!D21+'Sesamum U'!D35</f>
        <v>9.0000000000000011E-3</v>
      </c>
      <c r="E37" s="78">
        <f>'Niger U'!E21+'Sesamum U'!E35</f>
        <v>6.9999999999999993E-2</v>
      </c>
      <c r="F37" s="78">
        <f>'Niger U'!F21+'Sesamum U'!F35</f>
        <v>3.5999999999999997E-2</v>
      </c>
      <c r="G37" s="78">
        <f>'Niger U'!G21+'Sesamum U'!G35</f>
        <v>0</v>
      </c>
      <c r="H37" s="78">
        <f>'Niger U'!H21+'Sesamum U'!H35</f>
        <v>1.2499999999999999E-2</v>
      </c>
      <c r="I37" s="78">
        <f>'Niger U'!I21+'Sesamum U'!I35</f>
        <v>2.5500000000000002E-3</v>
      </c>
      <c r="J37" s="78">
        <f>'Niger U'!J21+'Sesamum U'!J35</f>
        <v>4.1270000000000001E-2</v>
      </c>
      <c r="K37" s="78">
        <f>'Niger U'!K21+'Sesamum U'!K35</f>
        <v>1.2E-2</v>
      </c>
      <c r="L37" s="200" t="e">
        <f t="shared" si="0"/>
        <v>#DIV/0!</v>
      </c>
      <c r="M37" s="200">
        <f t="shared" si="1"/>
        <v>347.22222222222223</v>
      </c>
      <c r="N37" s="200">
        <f t="shared" si="2"/>
        <v>283.33333333333331</v>
      </c>
      <c r="O37" s="200">
        <f t="shared" si="3"/>
        <v>589.57142857142867</v>
      </c>
      <c r="P37" s="200">
        <f t="shared" si="3"/>
        <v>333.33333333333337</v>
      </c>
      <c r="Q37" s="139"/>
      <c r="R37" s="139"/>
    </row>
    <row r="38" spans="1:18" ht="24.75" customHeight="1" x14ac:dyDescent="0.2">
      <c r="A38" s="190" t="s">
        <v>137</v>
      </c>
      <c r="B38" s="78">
        <f>'G Nut U'!C64+'Sesamum U'!B36</f>
        <v>0.36499999999999999</v>
      </c>
      <c r="C38" s="78">
        <f>'G Nut U'!D64+'Sesamum U'!C36</f>
        <v>0.28899999999999998</v>
      </c>
      <c r="D38" s="78">
        <f>'G Nut U'!E64+'Sesamum U'!D36</f>
        <v>0.34499999999999997</v>
      </c>
      <c r="E38" s="78">
        <f>'G Nut U'!F64+'Sesamum U'!E36</f>
        <v>0.40100000000000002</v>
      </c>
      <c r="F38" s="78">
        <f>'G Nut U'!G64+'Sesamum U'!F36</f>
        <v>0.44700000000000001</v>
      </c>
      <c r="G38" s="78">
        <f>'G Nut U'!H64+'Sesamum U'!G36</f>
        <v>0.82</v>
      </c>
      <c r="H38" s="78">
        <f>'G Nut U'!I64+'Sesamum U'!H36</f>
        <v>0.71399999999999997</v>
      </c>
      <c r="I38" s="78">
        <f>'G Nut U'!J64+'Sesamum U'!I36</f>
        <v>0.85099100000000005</v>
      </c>
      <c r="J38" s="78">
        <f>'G Nut U'!K64+'Sesamum U'!J36</f>
        <v>0.98496600000000001</v>
      </c>
      <c r="K38" s="78">
        <f>'G Nut U'!L64+'Sesamum U'!K36</f>
        <v>0.86404499999999995</v>
      </c>
      <c r="L38" s="200">
        <f t="shared" si="0"/>
        <v>2246.5753424657537</v>
      </c>
      <c r="M38" s="200">
        <f t="shared" si="1"/>
        <v>2470.5882352941176</v>
      </c>
      <c r="N38" s="200">
        <f t="shared" si="2"/>
        <v>2466.6405797101452</v>
      </c>
      <c r="O38" s="200">
        <f t="shared" si="3"/>
        <v>2456.2743142144636</v>
      </c>
      <c r="P38" s="200">
        <f t="shared" si="3"/>
        <v>1932.9865771812078</v>
      </c>
      <c r="Q38" s="139"/>
      <c r="R38" s="139"/>
    </row>
    <row r="39" spans="1:18" s="65" customFormat="1" ht="24.75" customHeight="1" x14ac:dyDescent="0.2">
      <c r="A39" s="190" t="s">
        <v>44</v>
      </c>
      <c r="B39" s="80">
        <f>'G Nut U'!C67+'Castor U'!B26+'Niger U'!B22+'Sesamum U'!B37+'Sunflower U'!C52+'Soyabean U'!B30</f>
        <v>18862.917000000005</v>
      </c>
      <c r="C39" s="80">
        <f>'G Nut U'!D67+'Castor U'!C26+'Niger U'!C22+'Sesamum U'!C37+'Sunflower U'!D52+'Soyabean U'!C30</f>
        <v>18666.503000000001</v>
      </c>
      <c r="D39" s="80">
        <f>'G Nut U'!E67+'Castor U'!D26+'Niger U'!D22+'Sesamum U'!D37+'Sunflower U'!E52+'Soyabean U'!D30</f>
        <v>17228.485929999995</v>
      </c>
      <c r="E39" s="80">
        <f>'G Nut U'!F67+'Castor U'!E26+'Niger U'!E22+'Sesamum U'!E37+'Sunflower U'!F52+'Soyabean U'!E30</f>
        <v>17708.8184</v>
      </c>
      <c r="F39" s="80">
        <f>'G Nut U'!G67+'Castor U'!F26+'Niger U'!F22+'Sesamum U'!F37+'Sunflower U'!G52+'Soyabean U'!F30</f>
        <v>19283.762999999999</v>
      </c>
      <c r="G39" s="80">
        <f>'G Nut U'!H67+'Castor U'!G26+'Niger U'!G22+'Sesamum U'!G37+'Sunflower U'!H52+'Soyabean U'!G30</f>
        <v>16679.697817000004</v>
      </c>
      <c r="H39" s="80">
        <f>'G Nut U'!I67+'Castor U'!H26+'Niger U'!H22+'Sesamum U'!H37+'Sunflower U'!I52+'Soyabean U'!H30</f>
        <v>21513.264349999994</v>
      </c>
      <c r="I39" s="80">
        <f>'G Nut U'!J67+'Castor U'!I26+'Niger U'!I22+'Sesamum U'!I37+'Sunflower U'!J52+'Soyabean U'!I30</f>
        <v>21006.253797190002</v>
      </c>
      <c r="J39" s="80">
        <f>'G Nut U'!K67+'Castor U'!J26+'Niger U'!J22+'Sesamum U'!J37+'Sunflower U'!K52+'Soyabean U'!J30</f>
        <v>20676.179585737726</v>
      </c>
      <c r="K39" s="80">
        <f>'G Nut U'!L67+'Castor U'!K26+'Niger U'!K22+'Sesamum U'!K37+'Sunflower U'!L52+'Soyabean U'!K30</f>
        <v>22247.380367000002</v>
      </c>
      <c r="L39" s="84">
        <f t="shared" si="0"/>
        <v>884.25866566660932</v>
      </c>
      <c r="M39" s="84">
        <f t="shared" si="1"/>
        <v>1152.50640947584</v>
      </c>
      <c r="N39" s="84">
        <f t="shared" si="2"/>
        <v>1219.2745132996145</v>
      </c>
      <c r="O39" s="84">
        <f t="shared" si="3"/>
        <v>1167.5640417509576</v>
      </c>
      <c r="P39" s="84">
        <f t="shared" si="3"/>
        <v>1153.6845981253764</v>
      </c>
      <c r="Q39" s="141"/>
      <c r="R39" s="141"/>
    </row>
    <row r="40" spans="1:18" x14ac:dyDescent="0.2">
      <c r="A40" s="38"/>
    </row>
    <row r="43" spans="1:18" x14ac:dyDescent="0.2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8" x14ac:dyDescent="0.2"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mergeCells count="5">
    <mergeCell ref="A5:A6"/>
    <mergeCell ref="A4:M4"/>
    <mergeCell ref="B5:F5"/>
    <mergeCell ref="L5:P5"/>
    <mergeCell ref="G5:K5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5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S45"/>
  <sheetViews>
    <sheetView view="pageBreakPreview" zoomScale="70" zoomScaleNormal="60" zoomScaleSheetLayoutView="70" workbookViewId="0">
      <pane xSplit="1" ySplit="6" topLeftCell="B33" activePane="bottomRight" state="frozen"/>
      <selection pane="topRight"/>
      <selection pane="bottomLeft"/>
      <selection pane="bottomRight" activeCell="K43" sqref="A43:K44"/>
    </sheetView>
  </sheetViews>
  <sheetFormatPr defaultRowHeight="18" x14ac:dyDescent="0.2"/>
  <cols>
    <col min="1" max="1" width="27.5703125" style="13" customWidth="1"/>
    <col min="2" max="3" width="12.5703125" style="13" customWidth="1"/>
    <col min="4" max="6" width="11.5703125" style="13" customWidth="1"/>
    <col min="7" max="11" width="12.42578125" style="13" customWidth="1"/>
    <col min="12" max="13" width="12.7109375" style="13" customWidth="1"/>
    <col min="14" max="16" width="11.28515625" style="13" customWidth="1"/>
    <col min="17" max="18" width="11.28515625" style="144" customWidth="1"/>
    <col min="19" max="16384" width="9.140625" style="13"/>
  </cols>
  <sheetData>
    <row r="2" spans="1:19" x14ac:dyDescent="0.2">
      <c r="S2" s="2"/>
    </row>
    <row r="4" spans="1:19" ht="22.5" customHeight="1" x14ac:dyDescent="0.2">
      <c r="A4" s="232" t="s">
        <v>128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66"/>
      <c r="O4" s="66"/>
      <c r="P4" s="66"/>
      <c r="Q4" s="66"/>
      <c r="R4" s="66"/>
    </row>
    <row r="5" spans="1:19" ht="21" customHeight="1" x14ac:dyDescent="0.2">
      <c r="A5" s="209" t="s">
        <v>140</v>
      </c>
      <c r="B5" s="213" t="s">
        <v>80</v>
      </c>
      <c r="C5" s="213"/>
      <c r="D5" s="213"/>
      <c r="E5" s="213"/>
      <c r="F5" s="213"/>
      <c r="G5" s="213" t="s">
        <v>81</v>
      </c>
      <c r="H5" s="213"/>
      <c r="I5" s="213"/>
      <c r="J5" s="213"/>
      <c r="K5" s="213"/>
      <c r="L5" s="213" t="s">
        <v>78</v>
      </c>
      <c r="M5" s="213"/>
      <c r="N5" s="213"/>
      <c r="O5" s="213"/>
      <c r="P5" s="213"/>
      <c r="Q5" s="108"/>
      <c r="R5" s="108"/>
    </row>
    <row r="6" spans="1:19" s="15" customFormat="1" ht="26.25" customHeight="1" x14ac:dyDescent="0.2">
      <c r="A6" s="209"/>
      <c r="B6" s="99" t="s">
        <v>107</v>
      </c>
      <c r="C6" s="99" t="s">
        <v>108</v>
      </c>
      <c r="D6" s="99" t="s">
        <v>111</v>
      </c>
      <c r="E6" s="99" t="s">
        <v>138</v>
      </c>
      <c r="F6" s="99" t="s">
        <v>141</v>
      </c>
      <c r="G6" s="99" t="s">
        <v>107</v>
      </c>
      <c r="H6" s="99" t="s">
        <v>108</v>
      </c>
      <c r="I6" s="99" t="s">
        <v>111</v>
      </c>
      <c r="J6" s="99" t="s">
        <v>138</v>
      </c>
      <c r="K6" s="99" t="s">
        <v>141</v>
      </c>
      <c r="L6" s="99" t="s">
        <v>107</v>
      </c>
      <c r="M6" s="99" t="s">
        <v>108</v>
      </c>
      <c r="N6" s="99" t="s">
        <v>111</v>
      </c>
      <c r="O6" s="99" t="s">
        <v>138</v>
      </c>
      <c r="P6" s="99" t="s">
        <v>141</v>
      </c>
      <c r="Q6" s="155"/>
      <c r="R6" s="155"/>
    </row>
    <row r="7" spans="1:19" ht="24.75" customHeight="1" x14ac:dyDescent="0.2">
      <c r="A7" s="190" t="s">
        <v>1</v>
      </c>
      <c r="B7" s="71">
        <f>'G Nut U'!C7+'R &amp; M U'!B7+'Linseed U'!B7+'Safflower U'!B7+'Sunflower U'!C7</f>
        <v>114</v>
      </c>
      <c r="C7" s="71">
        <f>'G Nut U'!D7+'R &amp; M U'!C7+'Linseed U'!C7+'Safflower U'!C7+'Sunflower U'!D7</f>
        <v>97</v>
      </c>
      <c r="D7" s="71">
        <f>'G Nut U'!E7+'R &amp; M U'!D7+'Linseed U'!D7+'Safflower U'!D7+'Sunflower U'!E7</f>
        <v>96</v>
      </c>
      <c r="E7" s="71">
        <f>'G Nut U'!F7+'R &amp; M U'!E7+'Linseed U'!E7+'Safflower U'!E7+'Sunflower U'!F7</f>
        <v>75</v>
      </c>
      <c r="F7" s="71">
        <f>'G Nut U'!G7+'R &amp; M U'!F7+'Linseed U'!F7+'Safflower U'!F7+'Sunflower U'!G7</f>
        <v>103</v>
      </c>
      <c r="G7" s="71">
        <f>'G Nut U'!H7+'R &amp; M U'!G7+'Linseed U'!G7+'Safflower U'!G7+'Sunflower U'!H7</f>
        <v>222</v>
      </c>
      <c r="H7" s="71">
        <f>'G Nut U'!I7+'R &amp; M U'!H7+'Linseed U'!H7+'Safflower U'!H7+'Sunflower U'!I7</f>
        <v>229</v>
      </c>
      <c r="I7" s="71">
        <f>'G Nut U'!J7+'R &amp; M U'!I7+'Linseed U'!I7+'Safflower U'!I7+'Sunflower U'!J7</f>
        <v>222.48000000000002</v>
      </c>
      <c r="J7" s="71">
        <f>'G Nut U'!K7+'R &amp; M U'!J7+'Linseed U'!J7+'Safflower U'!J7+'Sunflower U'!K7</f>
        <v>138.13200000000001</v>
      </c>
      <c r="K7" s="71">
        <f>'G Nut U'!L7+'R &amp; M U'!K7+'Linseed U'!K7+'Safflower U'!K7+'Sunflower U'!L7</f>
        <v>235.37100000000001</v>
      </c>
      <c r="L7" s="83">
        <f t="shared" ref="L7:L40" si="0">G7/B7*1000</f>
        <v>1947.3684210526317</v>
      </c>
      <c r="M7" s="83">
        <f t="shared" ref="M7:M40" si="1">H7/C7*1000</f>
        <v>2360.8247422680411</v>
      </c>
      <c r="N7" s="83">
        <f t="shared" ref="N7:N40" si="2">I7/D7*1000</f>
        <v>2317.5000000000005</v>
      </c>
      <c r="O7" s="83">
        <f t="shared" ref="O7:P40" si="3">J7/E7*1000</f>
        <v>1841.76</v>
      </c>
      <c r="P7" s="83">
        <f t="shared" si="3"/>
        <v>2285.1553398058254</v>
      </c>
      <c r="Q7" s="139"/>
      <c r="R7" s="139"/>
    </row>
    <row r="8" spans="1:19" ht="24.75" customHeight="1" x14ac:dyDescent="0.2">
      <c r="A8" s="190" t="s">
        <v>32</v>
      </c>
      <c r="B8" s="71">
        <f>'R &amp; M U'!B8+'Linseed U'!B8+'Safflower U'!B8</f>
        <v>29.228999999999999</v>
      </c>
      <c r="C8" s="71">
        <f>'R &amp; M U'!C8+'Linseed U'!C8+'Safflower U'!C8</f>
        <v>28.307000000000002</v>
      </c>
      <c r="D8" s="71">
        <f>'R &amp; M U'!D8+'Linseed U'!D8+'Safflower U'!D8</f>
        <v>28.523</v>
      </c>
      <c r="E8" s="71">
        <f>'R &amp; M U'!E8+'Linseed U'!E8+'Safflower U'!E8</f>
        <v>28.206</v>
      </c>
      <c r="F8" s="71">
        <f>'R &amp; M U'!F8+'Linseed U'!F8+'Safflower U'!F8</f>
        <v>28.6</v>
      </c>
      <c r="G8" s="71">
        <f>'R &amp; M U'!G8+'Linseed U'!G8+'Safflower U'!G8</f>
        <v>31.843</v>
      </c>
      <c r="H8" s="71">
        <f>'R &amp; M U'!H8+'Linseed U'!H8+'Safflower U'!H8</f>
        <v>28.847999999999999</v>
      </c>
      <c r="I8" s="71">
        <f>'R &amp; M U'!I8+'Linseed U'!I8+'Safflower U'!I8</f>
        <v>29.070591</v>
      </c>
      <c r="J8" s="71">
        <f>'R &amp; M U'!J8+'Linseed U'!J8+'Safflower U'!J8</f>
        <v>28.741914000000001</v>
      </c>
      <c r="K8" s="71">
        <f>'R &amp; M U'!K8+'Linseed U'!K8+'Safflower U'!K8</f>
        <v>29.184994</v>
      </c>
      <c r="L8" s="83">
        <f t="shared" si="0"/>
        <v>1089.4317287625304</v>
      </c>
      <c r="M8" s="83">
        <f t="shared" si="1"/>
        <v>1019.1118804535979</v>
      </c>
      <c r="N8" s="83">
        <f t="shared" si="2"/>
        <v>1019.1982259930583</v>
      </c>
      <c r="O8" s="83">
        <f t="shared" si="3"/>
        <v>1019.0000000000001</v>
      </c>
      <c r="P8" s="83">
        <f t="shared" si="3"/>
        <v>1020.4543356643356</v>
      </c>
      <c r="Q8" s="139"/>
      <c r="R8" s="139"/>
    </row>
    <row r="9" spans="1:19" ht="24.75" customHeight="1" x14ac:dyDescent="0.2">
      <c r="A9" s="190" t="s">
        <v>28</v>
      </c>
      <c r="B9" s="71">
        <f>'R &amp; M U'!B9+'Linseed U'!B9</f>
        <v>290.94900000000001</v>
      </c>
      <c r="C9" s="71">
        <f>'R &amp; M U'!C9+'Linseed U'!C9</f>
        <v>298.988</v>
      </c>
      <c r="D9" s="71">
        <f>'R &amp; M U'!D9+'Linseed U'!D9</f>
        <v>295.28900000000004</v>
      </c>
      <c r="E9" s="71">
        <f>'R &amp; M U'!E9+'Linseed U'!E9</f>
        <v>290.49899999999997</v>
      </c>
      <c r="F9" s="71">
        <f>'R &amp; M U'!F9+'Linseed U'!F9</f>
        <v>292.33199999999999</v>
      </c>
      <c r="G9" s="71">
        <f>'R &amp; M U'!G9+'Linseed U'!G9</f>
        <v>202.839</v>
      </c>
      <c r="H9" s="71">
        <f>'R &amp; M U'!H9+'Linseed U'!H9</f>
        <v>192.256</v>
      </c>
      <c r="I9" s="71">
        <f>'R &amp; M U'!I9+'Linseed U'!I9</f>
        <v>188.55956700000002</v>
      </c>
      <c r="J9" s="71">
        <f>'R &amp; M U'!J9+'Linseed U'!J9</f>
        <v>186.62415199999998</v>
      </c>
      <c r="K9" s="71">
        <f>'R &amp; M U'!K9+'Linseed U'!K9</f>
        <v>180.35479899999999</v>
      </c>
      <c r="L9" s="83">
        <f t="shared" si="0"/>
        <v>697.16342039326469</v>
      </c>
      <c r="M9" s="83">
        <f t="shared" si="1"/>
        <v>643.02246243996422</v>
      </c>
      <c r="N9" s="83">
        <f t="shared" si="2"/>
        <v>638.55940112906342</v>
      </c>
      <c r="O9" s="83">
        <f t="shared" si="3"/>
        <v>642.42614260290054</v>
      </c>
      <c r="P9" s="83">
        <f t="shared" si="3"/>
        <v>616.95195531108459</v>
      </c>
      <c r="Q9" s="139"/>
      <c r="R9" s="139"/>
    </row>
    <row r="10" spans="1:19" ht="24.75" customHeight="1" x14ac:dyDescent="0.2">
      <c r="A10" s="190" t="s">
        <v>40</v>
      </c>
      <c r="B10" s="71">
        <f>'R &amp; M U'!B10+'Linseed U'!B10+'Safflower U'!B9+'Sunflower U'!C11</f>
        <v>114.29499999999999</v>
      </c>
      <c r="C10" s="71">
        <f>'R &amp; M U'!C10+'Linseed U'!C10+'Safflower U'!C9+'Sunflower U'!D11</f>
        <v>103.762</v>
      </c>
      <c r="D10" s="71">
        <f>'R &amp; M U'!D10+'Linseed U'!D10+'Safflower U'!D9+'Sunflower U'!E11</f>
        <v>99.562000000000012</v>
      </c>
      <c r="E10" s="71">
        <f>'R &amp; M U'!E10+'Linseed U'!E10+'Safflower U'!E9+'Sunflower U'!F11</f>
        <v>96.422999999999988</v>
      </c>
      <c r="F10" s="71">
        <f>'R &amp; M U'!F10+'Linseed U'!F10+'Safflower U'!F9+'Sunflower U'!G11</f>
        <v>90.342999999999989</v>
      </c>
      <c r="G10" s="71">
        <f>'Sunflower U'!H11+'R &amp; M U'!G10+'Linseed U'!G10+'Safflower U'!G9</f>
        <v>121.07</v>
      </c>
      <c r="H10" s="71">
        <f>'Sunflower U'!I11+'R &amp; M U'!H10+'Linseed U'!H10+'Safflower U'!H9</f>
        <v>120.33300000000001</v>
      </c>
      <c r="I10" s="71">
        <f>'Sunflower U'!J11+'R &amp; M U'!I10+'Linseed U'!I10+'Safflower U'!I9</f>
        <v>120.80856800000002</v>
      </c>
      <c r="J10" s="71">
        <f>'Sunflower U'!K11+'R &amp; M U'!J10+'Linseed U'!J10+'Safflower U'!J9</f>
        <v>121.047101</v>
      </c>
      <c r="K10" s="71">
        <f>'Sunflower U'!L11+'R &amp; M U'!K10+'Linseed U'!K10+'Safflower U'!K9</f>
        <v>106.15253</v>
      </c>
      <c r="L10" s="83">
        <f t="shared" si="0"/>
        <v>1059.2764337897547</v>
      </c>
      <c r="M10" s="83">
        <f t="shared" si="1"/>
        <v>1159.7020103698849</v>
      </c>
      <c r="N10" s="83">
        <f t="shared" si="2"/>
        <v>1213.400373636528</v>
      </c>
      <c r="O10" s="83">
        <f t="shared" si="3"/>
        <v>1255.3758024537715</v>
      </c>
      <c r="P10" s="83">
        <f t="shared" si="3"/>
        <v>1174.9945208815293</v>
      </c>
      <c r="Q10" s="139"/>
      <c r="R10" s="139"/>
    </row>
    <row r="11" spans="1:19" ht="24.75" customHeight="1" x14ac:dyDescent="0.2">
      <c r="A11" s="190" t="s">
        <v>6</v>
      </c>
      <c r="B11" s="71">
        <f>'R &amp; M U'!B11+'Linseed U'!B11+'Safflower U'!B10+'Sunflower U'!C14</f>
        <v>71.2</v>
      </c>
      <c r="C11" s="71">
        <f>'R &amp; M U'!C11+'Linseed U'!C11+'Safflower U'!C10+'Sunflower U'!D14</f>
        <v>82.000000000000014</v>
      </c>
      <c r="D11" s="71">
        <f>'R &amp; M U'!D11+'Linseed U'!D11+'Safflower U'!D10+'Sunflower U'!E14</f>
        <v>69.760000000000005</v>
      </c>
      <c r="E11" s="71">
        <f>'R &amp; M U'!E11+'Linseed U'!E11+'Safflower U'!E10+'Sunflower U'!F14</f>
        <v>60.04</v>
      </c>
      <c r="F11" s="71">
        <f>'R &amp; M U'!F11+'Linseed U'!F11+'Safflower U'!F10+'Sunflower U'!G14</f>
        <v>54.91</v>
      </c>
      <c r="G11" s="71">
        <f>'R &amp; M U'!G11+'Linseed U'!G11+'Safflower U'!G10+'Sunflower U'!H14</f>
        <v>30.500000000000004</v>
      </c>
      <c r="H11" s="71">
        <f>'R &amp; M U'!H11+'Linseed U'!H11+'Safflower U'!H10+'Sunflower U'!I14</f>
        <v>30.5</v>
      </c>
      <c r="I11" s="71">
        <f>'R &amp; M U'!I11+'Linseed U'!I11+'Safflower U'!I10+'Sunflower U'!J14</f>
        <v>24.603350000000002</v>
      </c>
      <c r="J11" s="71">
        <f>'R &amp; M U'!J11+'Linseed U'!J11+'Safflower U'!J10+'Sunflower U'!K14</f>
        <v>22.329409999999999</v>
      </c>
      <c r="K11" s="71">
        <f>'R &amp; M U'!K11+'Linseed U'!K11+'Safflower U'!K10+'Sunflower U'!L14</f>
        <v>20.771469999999997</v>
      </c>
      <c r="L11" s="83">
        <f t="shared" si="0"/>
        <v>428.37078651685397</v>
      </c>
      <c r="M11" s="83">
        <f t="shared" si="1"/>
        <v>371.95121951219505</v>
      </c>
      <c r="N11" s="83">
        <f t="shared" si="2"/>
        <v>352.68563646788994</v>
      </c>
      <c r="O11" s="83">
        <f t="shared" si="3"/>
        <v>371.90889407061957</v>
      </c>
      <c r="P11" s="83">
        <f t="shared" si="3"/>
        <v>378.28209797851025</v>
      </c>
      <c r="Q11" s="139"/>
      <c r="R11" s="139"/>
    </row>
    <row r="12" spans="1:19" ht="24.75" customHeight="1" x14ac:dyDescent="0.2">
      <c r="A12" s="190" t="s">
        <v>7</v>
      </c>
      <c r="B12" s="71">
        <f>'G Nut U'!C13</f>
        <v>1.5369999999999999</v>
      </c>
      <c r="C12" s="71">
        <f>'G Nut U'!D13</f>
        <v>1.3520000000000001</v>
      </c>
      <c r="D12" s="71">
        <f>'G Nut U'!E13</f>
        <v>1.2569999999999999</v>
      </c>
      <c r="E12" s="71">
        <f>'G Nut U'!F13</f>
        <v>0.214</v>
      </c>
      <c r="F12" s="71">
        <f>'G Nut U'!G13</f>
        <v>0.16800000000000001</v>
      </c>
      <c r="G12" s="71">
        <f>'G Nut U'!H13</f>
        <v>3.298</v>
      </c>
      <c r="H12" s="71">
        <f>'G Nut U'!I13</f>
        <v>3.1120000000000001</v>
      </c>
      <c r="I12" s="71">
        <f>'G Nut U'!J13</f>
        <v>2.8194509999999995</v>
      </c>
      <c r="J12" s="71">
        <f>'G Nut U'!K13</f>
        <v>0.49648000000000003</v>
      </c>
      <c r="K12" s="71">
        <f>'G Nut U'!L13</f>
        <v>0.42</v>
      </c>
      <c r="L12" s="83">
        <f t="shared" si="0"/>
        <v>2145.7384515289527</v>
      </c>
      <c r="M12" s="83">
        <f t="shared" si="1"/>
        <v>2301.7751479289941</v>
      </c>
      <c r="N12" s="83">
        <f t="shared" si="2"/>
        <v>2243</v>
      </c>
      <c r="O12" s="83">
        <f t="shared" si="3"/>
        <v>2320.0000000000005</v>
      </c>
      <c r="P12" s="83">
        <f t="shared" si="3"/>
        <v>2499.9999999999995</v>
      </c>
      <c r="Q12" s="139"/>
      <c r="R12" s="139"/>
    </row>
    <row r="13" spans="1:19" ht="24.75" customHeight="1" x14ac:dyDescent="0.2">
      <c r="A13" s="190" t="s">
        <v>8</v>
      </c>
      <c r="B13" s="71">
        <f>'G Nut U'!C16+'R &amp; M U'!B12+'Safflower U'!B11</f>
        <v>248</v>
      </c>
      <c r="C13" s="71">
        <f>'G Nut U'!D16+'R &amp; M U'!C12+'Safflower U'!C11</f>
        <v>264</v>
      </c>
      <c r="D13" s="71">
        <f>'G Nut U'!E16+'R &amp; M U'!D12+'Safflower U'!D11</f>
        <v>273</v>
      </c>
      <c r="E13" s="71">
        <f>'Safflower U'!E11+'R &amp; M U'!E12+'Sunflower U'!F17+'G Nut U'!F16</f>
        <v>238.79000000000002</v>
      </c>
      <c r="F13" s="71">
        <f>'Safflower U'!F11+'R &amp; M U'!F12+'Sunflower U'!G17+'G Nut U'!G16</f>
        <v>232.54000000000002</v>
      </c>
      <c r="G13" s="71">
        <f>'G Nut U'!H16+'R &amp; M U'!G12+'Safflower U'!G11</f>
        <v>402</v>
      </c>
      <c r="H13" s="71">
        <f>'G Nut U'!I16+'R &amp; M U'!H12+'Safflower U'!H11</f>
        <v>457</v>
      </c>
      <c r="I13" s="71">
        <f>'G Nut U'!J16+'R &amp; M U'!I12+'Safflower U'!I11</f>
        <v>495.35199999999998</v>
      </c>
      <c r="J13" s="71">
        <f>'G Nut U'!K16+'Sunflower U'!K17+'R &amp; M U'!J12+'Safflower U'!J11</f>
        <v>424.99273000000005</v>
      </c>
      <c r="K13" s="71">
        <f>'G Nut U'!L16+'Sunflower U'!L17+'R &amp; M U'!K12+'Safflower U'!K11</f>
        <v>476.60390000000001</v>
      </c>
      <c r="L13" s="83">
        <f t="shared" si="0"/>
        <v>1620.9677419354837</v>
      </c>
      <c r="M13" s="83">
        <f t="shared" si="1"/>
        <v>1731.060606060606</v>
      </c>
      <c r="N13" s="83">
        <f t="shared" si="2"/>
        <v>1814.4761904761904</v>
      </c>
      <c r="O13" s="83">
        <f t="shared" si="3"/>
        <v>1779.77607940031</v>
      </c>
      <c r="P13" s="83">
        <f t="shared" si="3"/>
        <v>2049.5566354175626</v>
      </c>
      <c r="Q13" s="139"/>
      <c r="R13" s="139"/>
    </row>
    <row r="14" spans="1:19" ht="25.5" customHeight="1" x14ac:dyDescent="0.2">
      <c r="A14" s="190" t="s">
        <v>34</v>
      </c>
      <c r="B14" s="71">
        <f>'Sunflower U'!C20+'R &amp; M U'!B13</f>
        <v>514</v>
      </c>
      <c r="C14" s="71">
        <f>'Sunflower U'!D20+'R &amp; M U'!C13</f>
        <v>518.9</v>
      </c>
      <c r="D14" s="71">
        <f>'Sunflower U'!E20+'R &amp; M U'!D13</f>
        <v>554</v>
      </c>
      <c r="E14" s="71">
        <f>'Sunflower U'!F20+'R &amp; M U'!E13</f>
        <v>618.70000000000005</v>
      </c>
      <c r="F14" s="71">
        <f>'Sunflower U'!G20+'R &amp; M U'!F13</f>
        <v>650.4</v>
      </c>
      <c r="G14" s="71">
        <f>'R &amp; M U'!G13+'Sunflower U'!H20</f>
        <v>823.50400000000002</v>
      </c>
      <c r="H14" s="71">
        <f>'R &amp; M U'!H13+'Sunflower U'!I20</f>
        <v>957.4</v>
      </c>
      <c r="I14" s="71">
        <f>'R &amp; M U'!I13+'Sunflower U'!J20</f>
        <v>1117.3120000000001</v>
      </c>
      <c r="J14" s="71">
        <f>'R &amp; M U'!J13+'Sunflower U'!K20</f>
        <v>1271.8311000000001</v>
      </c>
      <c r="K14" s="71">
        <f>'R &amp; M U'!K13+'Sunflower U'!L20</f>
        <v>1166.6495</v>
      </c>
      <c r="L14" s="83">
        <f t="shared" si="0"/>
        <v>1602.1478599221789</v>
      </c>
      <c r="M14" s="83">
        <f t="shared" si="1"/>
        <v>1845.0568510310272</v>
      </c>
      <c r="N14" s="83">
        <f t="shared" si="2"/>
        <v>2016.808664259928</v>
      </c>
      <c r="O14" s="83">
        <f t="shared" si="3"/>
        <v>2055.6507192500403</v>
      </c>
      <c r="P14" s="83">
        <f t="shared" si="3"/>
        <v>1793.7415436654367</v>
      </c>
      <c r="Q14" s="139"/>
      <c r="R14" s="139"/>
    </row>
    <row r="15" spans="1:19" ht="25.5" customHeight="1" x14ac:dyDescent="0.2">
      <c r="A15" s="190" t="s">
        <v>45</v>
      </c>
      <c r="B15" s="71">
        <f>'R &amp; M U'!B14+'Linseed U'!B12</f>
        <v>9.4039999999999999</v>
      </c>
      <c r="C15" s="71">
        <f>'R &amp; M U'!C14+'Linseed U'!C12</f>
        <v>9.7279999999999998</v>
      </c>
      <c r="D15" s="71">
        <f>'R &amp; M U'!D14+'Linseed U'!D12</f>
        <v>9.1290000000000013</v>
      </c>
      <c r="E15" s="71">
        <f>'R &amp; M U'!E14+'Linseed U'!E12</f>
        <v>9.3439999999999994</v>
      </c>
      <c r="F15" s="71">
        <f>'R &amp; M U'!F14+'Linseed U'!F12</f>
        <v>9.4250000000000007</v>
      </c>
      <c r="G15" s="71">
        <f>'R &amp; M U'!G14+'Linseed U'!G12</f>
        <v>4.6790000000000003</v>
      </c>
      <c r="H15" s="71">
        <f>'R &amp; M U'!H14+'Linseed U'!H12</f>
        <v>4.72</v>
      </c>
      <c r="I15" s="71">
        <f>'R &amp; M U'!I14+'Linseed U'!I12</f>
        <v>4.782</v>
      </c>
      <c r="J15" s="71">
        <f>'R &amp; M U'!J14+'Linseed U'!J12</f>
        <v>4.9364499999999989</v>
      </c>
      <c r="K15" s="71">
        <f>'R &amp; M U'!K14+'Linseed U'!K12</f>
        <v>5.2492500000000009</v>
      </c>
      <c r="L15" s="83">
        <f t="shared" si="0"/>
        <v>497.55423224159932</v>
      </c>
      <c r="M15" s="83">
        <f t="shared" si="1"/>
        <v>485.1973684210526</v>
      </c>
      <c r="N15" s="83">
        <f t="shared" si="2"/>
        <v>523.82517252711136</v>
      </c>
      <c r="O15" s="83">
        <f t="shared" si="3"/>
        <v>528.30158390410952</v>
      </c>
      <c r="P15" s="83">
        <f t="shared" si="3"/>
        <v>556.9496021220159</v>
      </c>
      <c r="Q15" s="139"/>
      <c r="R15" s="139"/>
    </row>
    <row r="16" spans="1:19" ht="25.5" customHeight="1" x14ac:dyDescent="0.2">
      <c r="A16" s="190" t="s">
        <v>41</v>
      </c>
      <c r="B16" s="71">
        <f>'R &amp; M U'!B15+'Linseed U'!B13</f>
        <v>50.679000000000002</v>
      </c>
      <c r="C16" s="71">
        <f>'R &amp; M U'!C15+'Linseed U'!C13</f>
        <v>47.732999999999997</v>
      </c>
      <c r="D16" s="71">
        <f>'R &amp; M U'!D15+'Linseed U'!D13</f>
        <v>47.463000000000001</v>
      </c>
      <c r="E16" s="71">
        <f>'R &amp; M U'!E15+'Linseed U'!E13</f>
        <v>47.396000000000001</v>
      </c>
      <c r="F16" s="71">
        <f>'R &amp; M U'!F15+'Linseed U'!F13</f>
        <v>45.436</v>
      </c>
      <c r="G16" s="71">
        <f>'R &amp; M U'!G15+'Linseed U'!G13</f>
        <v>31.079892000000001</v>
      </c>
      <c r="H16" s="71">
        <f>'R &amp; M U'!H15+'Linseed U'!H13</f>
        <v>25.068000000000001</v>
      </c>
      <c r="I16" s="71">
        <f>'R &amp; M U'!I15+'Linseed U'!I13</f>
        <v>37.619001000000004</v>
      </c>
      <c r="J16" s="71">
        <f>'R &amp; M U'!J15+'Linseed U'!J13</f>
        <v>54.452227999999998</v>
      </c>
      <c r="K16" s="71">
        <f>'R &amp; M U'!K15+'Linseed U'!K13</f>
        <v>40.734589</v>
      </c>
      <c r="L16" s="83">
        <f t="shared" si="0"/>
        <v>613.26963831172679</v>
      </c>
      <c r="M16" s="83">
        <f t="shared" si="1"/>
        <v>525.17126516246628</v>
      </c>
      <c r="N16" s="83">
        <f t="shared" si="2"/>
        <v>792.59635926932572</v>
      </c>
      <c r="O16" s="83">
        <f t="shared" si="3"/>
        <v>1148.8781331757953</v>
      </c>
      <c r="P16" s="83">
        <f t="shared" si="3"/>
        <v>896.52674091029144</v>
      </c>
      <c r="Q16" s="139"/>
      <c r="R16" s="139"/>
    </row>
    <row r="17" spans="1:18" ht="25.5" customHeight="1" x14ac:dyDescent="0.2">
      <c r="A17" s="190" t="s">
        <v>50</v>
      </c>
      <c r="B17" s="71">
        <f>'R &amp; M U'!B16+'Linseed U'!B14+'Safflower U'!B12+'Sunflower U'!C23</f>
        <v>221.41</v>
      </c>
      <c r="C17" s="71">
        <f>'R &amp; M U'!C16+'Linseed U'!C14+'Safflower U'!C12+'Sunflower U'!D23</f>
        <v>313.94900000000001</v>
      </c>
      <c r="D17" s="71">
        <f>'R &amp; M U'!D16+'Linseed U'!D14+'Safflower U'!D12+'Sunflower U'!E23</f>
        <v>360.88100000000003</v>
      </c>
      <c r="E17" s="71">
        <f>'R &amp; M U'!E16+'Linseed U'!E14+'Safflower U'!E12+'Sunflower U'!F23</f>
        <v>278.10099999999994</v>
      </c>
      <c r="F17" s="71">
        <f>'R &amp; M U'!F16+'Linseed U'!F14+'Safflower U'!F12+'Sunflower U'!G23</f>
        <v>331.68900000000002</v>
      </c>
      <c r="G17" s="71">
        <f>'R &amp; M U'!G16+'Linseed U'!G14+'Safflower U'!G12+'Sunflower U'!H23</f>
        <v>150.08600000000001</v>
      </c>
      <c r="H17" s="71">
        <f>'R &amp; M U'!H16+'Linseed U'!H14+'Safflower U'!H12+'Sunflower U'!I23</f>
        <v>223.57199999999997</v>
      </c>
      <c r="I17" s="71">
        <f>'R &amp; M U'!I16+'Linseed U'!I14+'Safflower U'!I12+'Sunflower U'!J23</f>
        <v>249.810147</v>
      </c>
      <c r="J17" s="71">
        <f>'R &amp; M U'!J16+'Linseed U'!J14+'Safflower U'!J12+'Sunflower U'!K23</f>
        <v>184.914343</v>
      </c>
      <c r="K17" s="71">
        <f>'R &amp; M U'!K16+'Linseed U'!K14+'Safflower U'!K12+'Sunflower U'!L23</f>
        <v>254.862493</v>
      </c>
      <c r="L17" s="83">
        <f t="shared" si="0"/>
        <v>677.86459509507256</v>
      </c>
      <c r="M17" s="83">
        <f t="shared" si="1"/>
        <v>712.12840302087261</v>
      </c>
      <c r="N17" s="83">
        <f t="shared" si="2"/>
        <v>692.22305136596276</v>
      </c>
      <c r="O17" s="83">
        <f t="shared" si="3"/>
        <v>664.91793628933397</v>
      </c>
      <c r="P17" s="83">
        <f t="shared" si="3"/>
        <v>768.37788711714882</v>
      </c>
      <c r="Q17" s="139"/>
      <c r="R17" s="139"/>
    </row>
    <row r="18" spans="1:18" ht="25.5" customHeight="1" x14ac:dyDescent="0.2">
      <c r="A18" s="190" t="s">
        <v>11</v>
      </c>
      <c r="B18" s="71">
        <f>'G Nut U'!C23+'R &amp; M U'!B17+'Linseed U'!B15+'Safflower U'!B13+'Sunflower U'!C26</f>
        <v>430</v>
      </c>
      <c r="C18" s="71">
        <f>'G Nut U'!D23+'R &amp; M U'!C17+'Linseed U'!C15+'Safflower U'!C13+'Sunflower U'!D26</f>
        <v>294</v>
      </c>
      <c r="D18" s="71">
        <f>'G Nut U'!E23+'R &amp; M U'!D17+'Linseed U'!D15+'Safflower U'!D13+'Sunflower U'!E26</f>
        <v>274</v>
      </c>
      <c r="E18" s="71">
        <f>'G Nut U'!F23+'R &amp; M U'!E17+'Linseed U'!E15+'Safflower U'!E13+'Sunflower U'!F26</f>
        <v>204.37</v>
      </c>
      <c r="F18" s="71">
        <f>'G Nut U'!G23+'R &amp; M U'!F17+'Linseed U'!F15+'Safflower U'!F13+'Sunflower U'!G26</f>
        <v>166</v>
      </c>
      <c r="G18" s="71">
        <f>'G Nut U'!H23+'R &amp; M U'!G17+'Linseed U'!G15+'Safflower U'!G13+'Sunflower U'!H26</f>
        <v>253.67974999999998</v>
      </c>
      <c r="H18" s="71">
        <f>'G Nut U'!I23+'R &amp; M U'!H17+'Linseed U'!H15+'Safflower U'!H13+'Sunflower U'!I26</f>
        <v>214.8</v>
      </c>
      <c r="I18" s="71">
        <f>'G Nut U'!J23+'R &amp; M U'!I17+'Linseed U'!I15+'Safflower U'!I13+'Sunflower U'!J26</f>
        <v>274.87400000000002</v>
      </c>
      <c r="J18" s="71">
        <f>'G Nut U'!K23+'R &amp; M U'!J17+'Linseed U'!J15+'Safflower U'!J13+'Sunflower U'!K26</f>
        <v>154.42678999999998</v>
      </c>
      <c r="K18" s="71">
        <f>'G Nut U'!L23+'R &amp; M U'!K17+'Linseed U'!K15+'Safflower U'!K13+'Sunflower U'!L26</f>
        <v>181.785</v>
      </c>
      <c r="L18" s="83">
        <f t="shared" si="0"/>
        <v>589.9529069767442</v>
      </c>
      <c r="M18" s="83">
        <f t="shared" si="1"/>
        <v>730.61224489795916</v>
      </c>
      <c r="N18" s="83">
        <f t="shared" si="2"/>
        <v>1003.1897810218979</v>
      </c>
      <c r="O18" s="83">
        <f t="shared" si="3"/>
        <v>755.62357488868213</v>
      </c>
      <c r="P18" s="83">
        <f t="shared" si="3"/>
        <v>1095.0903614457832</v>
      </c>
      <c r="Q18" s="139"/>
      <c r="R18" s="139"/>
    </row>
    <row r="19" spans="1:18" ht="25.5" customHeight="1" x14ac:dyDescent="0.2">
      <c r="A19" s="190" t="s">
        <v>12</v>
      </c>
      <c r="B19" s="71">
        <f>'G Nut U'!C26+'Linseed U'!B16</f>
        <v>0</v>
      </c>
      <c r="C19" s="71">
        <f>'G Nut U'!D26+'Linseed U'!C16</f>
        <v>4</v>
      </c>
      <c r="D19" s="71">
        <f>'G Nut U'!E26+'Linseed U'!D16</f>
        <v>0</v>
      </c>
      <c r="E19" s="71">
        <f>'G Nut U'!F26+'Linseed U'!E16</f>
        <v>7.8399999999999997E-2</v>
      </c>
      <c r="F19" s="71">
        <f>'G Nut U'!G26+'Linseed U'!F16</f>
        <v>5.5E-2</v>
      </c>
      <c r="G19" s="71">
        <f>'G Nut U'!H26+'Linseed U'!G16</f>
        <v>0</v>
      </c>
      <c r="H19" s="71">
        <f>'G Nut U'!I26+'Linseed U'!H16</f>
        <v>0</v>
      </c>
      <c r="I19" s="71">
        <f>'G Nut U'!J26+'Linseed U'!I16</f>
        <v>0</v>
      </c>
      <c r="J19" s="71">
        <f>'G Nut U'!K26+'Linseed U'!J16</f>
        <v>9.6200000000000008E-2</v>
      </c>
      <c r="K19" s="71">
        <f>'G Nut U'!L26+'Linseed U'!K16</f>
        <v>6.900000000000002E-2</v>
      </c>
      <c r="L19" s="83" t="e">
        <f t="shared" si="0"/>
        <v>#DIV/0!</v>
      </c>
      <c r="M19" s="83">
        <f t="shared" si="1"/>
        <v>0</v>
      </c>
      <c r="N19" s="83" t="e">
        <f t="shared" si="2"/>
        <v>#DIV/0!</v>
      </c>
      <c r="O19" s="83">
        <f t="shared" si="3"/>
        <v>1227.0408163265308</v>
      </c>
      <c r="P19" s="83">
        <f t="shared" si="3"/>
        <v>1254.545454545455</v>
      </c>
      <c r="Q19" s="139"/>
      <c r="R19" s="139"/>
    </row>
    <row r="20" spans="1:18" ht="25.5" customHeight="1" x14ac:dyDescent="0.2">
      <c r="A20" s="190" t="s">
        <v>13</v>
      </c>
      <c r="B20" s="71">
        <f>'R &amp; M U'!B19+'Linseed U'!B17+'Safflower U'!B14+'Sunflower U'!C29+'G Nut U'!C29</f>
        <v>743</v>
      </c>
      <c r="C20" s="71">
        <f>'R &amp; M U'!C19+'Linseed U'!C17+'Safflower U'!C14+'Sunflower U'!D29+'G Nut U'!D29</f>
        <v>861</v>
      </c>
      <c r="D20" s="71">
        <f>'R &amp; M U'!D19+'Linseed U'!D17+'Safflower U'!D14+'Sunflower U'!E29+'G Nut U'!E29</f>
        <v>919</v>
      </c>
      <c r="E20" s="71">
        <f>'R &amp; M U'!E19+'Linseed U'!E17+'Safflower U'!E14+'Sunflower U'!F29+'G Nut U'!F29</f>
        <v>752</v>
      </c>
      <c r="F20" s="71">
        <f>'R &amp; M U'!F19+'Linseed U'!F17+'Safflower U'!F14+'Sunflower U'!G29+'G Nut U'!G29</f>
        <v>731</v>
      </c>
      <c r="G20" s="71">
        <f>'R &amp; M U'!G19+'Linseed U'!G17+'Safflower U'!G14+'Sunflower U'!H29+'G Nut U'!H29</f>
        <v>726</v>
      </c>
      <c r="H20" s="71">
        <f>'R &amp; M U'!H19+'Linseed U'!H17+'Safflower U'!H14+'Sunflower U'!I29+'G Nut U'!I29</f>
        <v>998</v>
      </c>
      <c r="I20" s="71">
        <f>'R &amp; M U'!I19+'Linseed U'!I17+'Safflower U'!I14+'Sunflower U'!J29+'G Nut U'!J29</f>
        <v>1076</v>
      </c>
      <c r="J20" s="71">
        <f>'R &amp; M U'!J19+'Linseed U'!J17+'Safflower U'!J14+'Sunflower U'!K29+'G Nut U'!K29</f>
        <v>1079.7160000000001</v>
      </c>
      <c r="K20" s="71">
        <f>'R &amp; M U'!K19+'Linseed U'!K17+'Safflower U'!K14+'Sunflower U'!L29+'G Nut U'!L29</f>
        <v>1089.5140000000001</v>
      </c>
      <c r="L20" s="83">
        <f t="shared" si="0"/>
        <v>977.1197846567967</v>
      </c>
      <c r="M20" s="83">
        <f t="shared" si="1"/>
        <v>1159.1173054587689</v>
      </c>
      <c r="N20" s="83">
        <f t="shared" si="2"/>
        <v>1170.8378672470076</v>
      </c>
      <c r="O20" s="83">
        <f t="shared" si="3"/>
        <v>1435.7925531914896</v>
      </c>
      <c r="P20" s="83">
        <f t="shared" si="3"/>
        <v>1490.4432284541724</v>
      </c>
      <c r="Q20" s="139"/>
      <c r="R20" s="139"/>
    </row>
    <row r="21" spans="1:18" ht="25.5" customHeight="1" x14ac:dyDescent="0.2">
      <c r="A21" s="190" t="s">
        <v>14</v>
      </c>
      <c r="B21" s="71">
        <f>'G Nut U'!C32+'R &amp; M U'!B20+'Linseed U'!B18+'Safflower U'!B15+'Sunflower U'!C32</f>
        <v>197</v>
      </c>
      <c r="C21" s="71">
        <f>'G Nut U'!D32+'R &amp; M U'!C20+'Linseed U'!C18+'Safflower U'!C15+'Sunflower U'!D32</f>
        <v>257.39999999999998</v>
      </c>
      <c r="D21" s="71">
        <f>'G Nut U'!E32+'R &amp; M U'!D20+'Linseed U'!D18+'Safflower U'!D15+'Sunflower U'!E32</f>
        <v>133.1</v>
      </c>
      <c r="E21" s="71">
        <f>'G Nut U'!F32+'R &amp; M U'!E20+'Linseed U'!E18+'Safflower U'!E15+'Sunflower U'!F32</f>
        <v>80.990000000000009</v>
      </c>
      <c r="F21" s="71">
        <f>'G Nut U'!G32+'R &amp; M U'!F20+'Linseed U'!F18+'Safflower U'!F15+'Sunflower U'!G32</f>
        <v>117.11999999999998</v>
      </c>
      <c r="G21" s="71">
        <f>'G Nut U'!H32+'R &amp; M U'!G20+'Linseed U'!G18+'Safflower U'!G15+'Sunflower U'!H32</f>
        <v>145</v>
      </c>
      <c r="H21" s="71">
        <f>'G Nut U'!I32+'R &amp; M U'!H20+'Linseed U'!H18+'Safflower U'!H15+'Sunflower U'!I32</f>
        <v>221.8</v>
      </c>
      <c r="I21" s="71">
        <f>'G Nut U'!J32+'R &amp; M U'!I20+'Linseed U'!I18+'Safflower U'!I15+'Sunflower U'!J32</f>
        <v>108.09400000000001</v>
      </c>
      <c r="J21" s="71">
        <f>'G Nut U'!K32+'R &amp; M U'!J20+'Linseed U'!J18+'Safflower U'!J15+'Sunflower U'!K32</f>
        <v>54.808693000000005</v>
      </c>
      <c r="K21" s="71">
        <f>'G Nut U'!L32+'R &amp; M U'!K20+'Linseed U'!K18+'Safflower U'!K15+'Sunflower U'!L32</f>
        <v>143.61999</v>
      </c>
      <c r="L21" s="83">
        <f t="shared" si="0"/>
        <v>736.04060913705587</v>
      </c>
      <c r="M21" s="83">
        <f t="shared" si="1"/>
        <v>861.69386169386189</v>
      </c>
      <c r="N21" s="83">
        <f t="shared" si="2"/>
        <v>812.12622088655155</v>
      </c>
      <c r="O21" s="83">
        <f t="shared" si="3"/>
        <v>676.73407828126926</v>
      </c>
      <c r="P21" s="83">
        <f t="shared" si="3"/>
        <v>1226.2635758196725</v>
      </c>
      <c r="Q21" s="139"/>
      <c r="R21" s="139"/>
    </row>
    <row r="22" spans="1:18" ht="25.5" customHeight="1" x14ac:dyDescent="0.2">
      <c r="A22" s="190" t="s">
        <v>36</v>
      </c>
      <c r="B22" s="71">
        <f>'G Nut U'!C35+'R &amp; M U'!B21</f>
        <v>32.380000000000003</v>
      </c>
      <c r="C22" s="71">
        <f>'G Nut U'!D35+'R &amp; M U'!C21</f>
        <v>32.51</v>
      </c>
      <c r="D22" s="71">
        <f>'G Nut U'!E35+'R &amp; M U'!D21</f>
        <v>32.6</v>
      </c>
      <c r="E22" s="71">
        <f>'G Nut U'!F35+'R &amp; M U'!E21</f>
        <v>32.75</v>
      </c>
      <c r="F22" s="71">
        <f>'G Nut U'!G35+'R &amp; M U'!F21</f>
        <v>25.55</v>
      </c>
      <c r="G22" s="71">
        <f>'G Nut U'!H35+'R &amp; M U'!G21</f>
        <v>27.49</v>
      </c>
      <c r="H22" s="71">
        <f>'G Nut U'!I35+'R &amp; M U'!H21</f>
        <v>27.9</v>
      </c>
      <c r="I22" s="71">
        <f>'G Nut U'!J35+'R &amp; M U'!I21</f>
        <v>28.189500000000002</v>
      </c>
      <c r="J22" s="71">
        <f>'G Nut U'!K35+'R &amp; M U'!J21</f>
        <v>27.80302</v>
      </c>
      <c r="K22" s="71">
        <f>'G Nut U'!L35+'R &amp; M U'!K21</f>
        <v>21.462</v>
      </c>
      <c r="L22" s="83">
        <f t="shared" si="0"/>
        <v>848.98085237801104</v>
      </c>
      <c r="M22" s="83">
        <f t="shared" si="1"/>
        <v>858.19747769916955</v>
      </c>
      <c r="N22" s="83">
        <f t="shared" si="2"/>
        <v>864.70858895705521</v>
      </c>
      <c r="O22" s="83">
        <f t="shared" si="3"/>
        <v>848.94717557251909</v>
      </c>
      <c r="P22" s="83">
        <f t="shared" si="3"/>
        <v>840</v>
      </c>
      <c r="Q22" s="139"/>
      <c r="R22" s="139"/>
    </row>
    <row r="23" spans="1:18" ht="25.5" customHeight="1" x14ac:dyDescent="0.2">
      <c r="A23" s="190" t="s">
        <v>37</v>
      </c>
      <c r="B23" s="71">
        <f>'R &amp; M U'!B22+'Linseed U'!B20</f>
        <v>9.8769999999999989</v>
      </c>
      <c r="C23" s="71">
        <f>'R &amp; M U'!C22+'Linseed U'!C20</f>
        <v>9.94</v>
      </c>
      <c r="D23" s="71">
        <f>'R &amp; M U'!D22+'Linseed U'!D20</f>
        <v>9.9619999999999997</v>
      </c>
      <c r="E23" s="71">
        <f>'R &amp; M U'!E22+'Linseed U'!E20</f>
        <v>9.972999999999999</v>
      </c>
      <c r="F23" s="71">
        <f>'R &amp; M U'!F22+'Linseed U'!F20</f>
        <v>9.9599999999999991</v>
      </c>
      <c r="G23" s="71">
        <f>'R &amp; M U'!G22+'Linseed U'!G20</f>
        <v>9.5190000000000001</v>
      </c>
      <c r="H23" s="71">
        <f>'R &amp; M U'!H22+'Linseed U'!H20</f>
        <v>9.25</v>
      </c>
      <c r="I23" s="71">
        <f>'R &amp; M U'!I22+'Linseed U'!I20</f>
        <v>9.2824779999999993</v>
      </c>
      <c r="J23" s="71">
        <f>'R &amp; M U'!J22+'Linseed U'!J20</f>
        <v>9.3027680000000004</v>
      </c>
      <c r="K23" s="71">
        <f>'R &amp; M U'!K22+'Linseed U'!K20</f>
        <v>9.2923200000000001</v>
      </c>
      <c r="L23" s="83">
        <f t="shared" si="0"/>
        <v>963.75417636934299</v>
      </c>
      <c r="M23" s="83">
        <f t="shared" si="1"/>
        <v>930.58350100603627</v>
      </c>
      <c r="N23" s="83">
        <f t="shared" si="2"/>
        <v>931.78859666733581</v>
      </c>
      <c r="O23" s="83">
        <f t="shared" si="3"/>
        <v>932.79534743808301</v>
      </c>
      <c r="P23" s="83">
        <f t="shared" si="3"/>
        <v>932.96385542168684</v>
      </c>
      <c r="Q23" s="139"/>
      <c r="R23" s="139"/>
    </row>
    <row r="24" spans="1:18" ht="25.5" customHeight="1" x14ac:dyDescent="0.2">
      <c r="A24" s="190" t="s">
        <v>38</v>
      </c>
      <c r="B24" s="71">
        <f>'R &amp; M U'!B23</f>
        <v>0.74299999999999999</v>
      </c>
      <c r="C24" s="71">
        <f>'R &amp; M U'!C23</f>
        <v>0.32600000000000001</v>
      </c>
      <c r="D24" s="71">
        <f>'R &amp; M U'!D23</f>
        <v>0.41700000000000004</v>
      </c>
      <c r="E24" s="71">
        <f>'R &amp; M U'!E23</f>
        <v>0.52900000000000003</v>
      </c>
      <c r="F24" s="71">
        <f>'R &amp; M U'!F23</f>
        <v>0.57400000000000007</v>
      </c>
      <c r="G24" s="71">
        <f>'R &amp; M U'!G23</f>
        <v>0.69399999999999995</v>
      </c>
      <c r="H24" s="71">
        <f>'R &amp; M U'!H23</f>
        <v>0.32700000000000001</v>
      </c>
      <c r="I24" s="71">
        <f>'R &amp; M U'!I23</f>
        <v>0.4176999999999999</v>
      </c>
      <c r="J24" s="71">
        <f>'R &amp; M U'!J23</f>
        <v>0.41099999999999998</v>
      </c>
      <c r="K24" s="71">
        <f>'R &amp; M U'!K23</f>
        <v>0.41</v>
      </c>
      <c r="L24" s="83">
        <f t="shared" si="0"/>
        <v>934.05114401076708</v>
      </c>
      <c r="M24" s="83">
        <f t="shared" si="1"/>
        <v>1003.0674846625767</v>
      </c>
      <c r="N24" s="83">
        <f t="shared" si="2"/>
        <v>1001.6786570743401</v>
      </c>
      <c r="O24" s="83">
        <f t="shared" si="3"/>
        <v>776.93761814744789</v>
      </c>
      <c r="P24" s="83">
        <f t="shared" si="3"/>
        <v>714.28571428571422</v>
      </c>
      <c r="Q24" s="139"/>
      <c r="R24" s="139"/>
    </row>
    <row r="25" spans="1:18" ht="25.5" customHeight="1" x14ac:dyDescent="0.2">
      <c r="A25" s="190" t="s">
        <v>15</v>
      </c>
      <c r="B25" s="71">
        <f>'R &amp; M U'!B24+'Linseed U'!B21+'Sunflower U'!C35</f>
        <v>35.5</v>
      </c>
      <c r="C25" s="71">
        <f>'R &amp; M U'!C24+'Linseed U'!C21+'Sunflower U'!D35</f>
        <v>35.43</v>
      </c>
      <c r="D25" s="71">
        <f>'R &amp; M U'!D24+'Linseed U'!D21+'Sunflower U'!E35</f>
        <v>35.56</v>
      </c>
      <c r="E25" s="71">
        <f>'R &amp; M U'!E24+'Linseed U'!E21+'Sunflower U'!F35</f>
        <v>35.64</v>
      </c>
      <c r="F25" s="71">
        <f>'R &amp; M U'!F24+'Linseed U'!F21+'Sunflower U'!G35</f>
        <v>35.72</v>
      </c>
      <c r="G25" s="71">
        <f>'R &amp; M U'!G24+'Linseed U'!G21+'Sunflower U'!H35</f>
        <v>33.849999999999994</v>
      </c>
      <c r="H25" s="71">
        <f>'R &amp; M U'!H24+'Linseed U'!H21+'Sunflower U'!I35</f>
        <v>33.83</v>
      </c>
      <c r="I25" s="71">
        <f>'R &amp; M U'!I24+'Linseed U'!I21+'Sunflower U'!J35</f>
        <v>33.916559999999997</v>
      </c>
      <c r="J25" s="71">
        <f>'R &amp; M U'!J24+'Linseed U'!J21+'Sunflower U'!K35</f>
        <v>33.981380000000001</v>
      </c>
      <c r="K25" s="71">
        <f>'R &amp; M U'!K24+'Linseed U'!K21+'Sunflower U'!L35</f>
        <v>34.04036</v>
      </c>
      <c r="L25" s="83">
        <f t="shared" si="0"/>
        <v>953.52112676056322</v>
      </c>
      <c r="M25" s="83">
        <f t="shared" si="1"/>
        <v>954.84053062376518</v>
      </c>
      <c r="N25" s="83">
        <f t="shared" si="2"/>
        <v>953.78402699662524</v>
      </c>
      <c r="O25" s="83">
        <f t="shared" si="3"/>
        <v>953.46184062850739</v>
      </c>
      <c r="P25" s="83">
        <f t="shared" si="3"/>
        <v>952.97760358342668</v>
      </c>
      <c r="Q25" s="139"/>
      <c r="R25" s="139"/>
    </row>
    <row r="26" spans="1:18" ht="25.5" customHeight="1" x14ac:dyDescent="0.2">
      <c r="A26" s="190" t="s">
        <v>101</v>
      </c>
      <c r="B26" s="71">
        <f>'G Nut U'!C43+'R &amp; M U'!B25+'Linseed U'!B22+'Safflower U'!B16+'Sunflower U'!C38</f>
        <v>76.959999999999994</v>
      </c>
      <c r="C26" s="71">
        <f>'G Nut U'!D43+'R &amp; M U'!C25+'Linseed U'!C22+'Safflower U'!C16+'Sunflower U'!D38</f>
        <v>63.33</v>
      </c>
      <c r="D26" s="71">
        <f>'G Nut U'!E43+'R &amp; M U'!D25+'Linseed U'!D22+'Safflower U'!D16+'Sunflower U'!E38</f>
        <v>50.599999999999994</v>
      </c>
      <c r="E26" s="71">
        <f>'G Nut U'!F43+'R &amp; M U'!E25+'Linseed U'!E22+'Safflower U'!E16+'Sunflower U'!F38</f>
        <v>49.08</v>
      </c>
      <c r="F26" s="71">
        <f>'G Nut U'!G43+'R &amp; M U'!F25+'Linseed U'!F22+'Safflower U'!F16+'Sunflower U'!G38</f>
        <v>51.699999999999996</v>
      </c>
      <c r="G26" s="71">
        <f>'G Nut U'!H43+'R &amp; M U'!G25+'Linseed U'!G22+'Safflower U'!G16+'Sunflower U'!H38</f>
        <v>71.223899999999986</v>
      </c>
      <c r="H26" s="71">
        <f>'G Nut U'!I43+'R &amp; M U'!H25+'Linseed U'!H22+'Safflower U'!H16+'Sunflower U'!I38</f>
        <v>62.29</v>
      </c>
      <c r="I26" s="71">
        <f>'G Nut U'!J43+'R &amp; M U'!I25+'Linseed U'!I22+'Safflower U'!I16+'Sunflower U'!J38</f>
        <v>46.667450000000002</v>
      </c>
      <c r="J26" s="71">
        <f>'G Nut U'!K43+'R &amp; M U'!J25+'Linseed U'!J22+'Safflower U'!J16+'Sunflower U'!K38</f>
        <v>49.446379999999998</v>
      </c>
      <c r="K26" s="71">
        <f>'G Nut U'!L43+'R &amp; M U'!K25+'Linseed U'!K22+'Safflower U'!K16+'Sunflower U'!L38</f>
        <v>57.306080000000009</v>
      </c>
      <c r="L26" s="83">
        <f t="shared" si="0"/>
        <v>925.46647609147601</v>
      </c>
      <c r="M26" s="83">
        <f t="shared" si="1"/>
        <v>983.57808305700303</v>
      </c>
      <c r="N26" s="83">
        <f t="shared" si="2"/>
        <v>922.28162055335986</v>
      </c>
      <c r="O26" s="83">
        <f t="shared" si="3"/>
        <v>1007.4649551752242</v>
      </c>
      <c r="P26" s="83">
        <f t="shared" si="3"/>
        <v>1108.4348162475826</v>
      </c>
      <c r="Q26" s="139"/>
      <c r="R26" s="139"/>
    </row>
    <row r="27" spans="1:18" ht="25.5" customHeight="1" x14ac:dyDescent="0.2">
      <c r="A27" s="190" t="s">
        <v>17</v>
      </c>
      <c r="B27" s="71">
        <f>'R &amp; M U'!B26+'Sunflower U'!C40</f>
        <v>37.4</v>
      </c>
      <c r="C27" s="71">
        <f>'R &amp; M U'!C26+'Sunflower U'!D40</f>
        <v>37.5</v>
      </c>
      <c r="D27" s="71">
        <f>'R &amp; M U'!D26+'Sunflower U'!E40</f>
        <v>36.200000000000003</v>
      </c>
      <c r="E27" s="71">
        <f>'R &amp; M U'!E26+'Sunflower U'!F40</f>
        <v>35.5</v>
      </c>
      <c r="F27" s="71">
        <f>'R &amp; M U'!F26+'Sunflower U'!G40</f>
        <v>35.299999999999997</v>
      </c>
      <c r="G27" s="71">
        <f>'R &amp; M U'!G26+'Sunflower U'!H40</f>
        <v>53.3</v>
      </c>
      <c r="H27" s="71">
        <f>'R &amp; M U'!H26+'Sunflower U'!I40</f>
        <v>54.4</v>
      </c>
      <c r="I27" s="71">
        <f>'R &amp; M U'!I26+'Sunflower U'!J40</f>
        <v>56.177</v>
      </c>
      <c r="J27" s="71">
        <f>'R &amp; M U'!J26+'Sunflower U'!K40</f>
        <v>56.146999999999998</v>
      </c>
      <c r="K27" s="71">
        <f>'R &amp; M U'!K26+'Sunflower U'!L40</f>
        <v>53.935699999999997</v>
      </c>
      <c r="L27" s="83">
        <f t="shared" si="0"/>
        <v>1425.1336898395721</v>
      </c>
      <c r="M27" s="83">
        <f t="shared" si="1"/>
        <v>1450.6666666666665</v>
      </c>
      <c r="N27" s="83">
        <f t="shared" si="2"/>
        <v>1551.8508287292816</v>
      </c>
      <c r="O27" s="83">
        <f t="shared" si="3"/>
        <v>1581.6056338028168</v>
      </c>
      <c r="P27" s="83">
        <f t="shared" si="3"/>
        <v>1527.9235127478755</v>
      </c>
      <c r="Q27" s="139"/>
      <c r="R27" s="139"/>
    </row>
    <row r="28" spans="1:18" ht="25.5" customHeight="1" x14ac:dyDescent="0.2">
      <c r="A28" s="190" t="s">
        <v>18</v>
      </c>
      <c r="B28" s="71">
        <f>'G Nut U'!C47+'R &amp; M U'!B27+'Linseed U'!B24</f>
        <v>2534.1749999999997</v>
      </c>
      <c r="C28" s="71">
        <f>'G Nut U'!D47+'R &amp; M U'!C27+'Linseed U'!C24</f>
        <v>2598.5509999999999</v>
      </c>
      <c r="D28" s="71">
        <f>'G Nut U'!E47+'R &amp; M U'!D27+'Linseed U'!D24</f>
        <v>2215.4029999999998</v>
      </c>
      <c r="E28" s="71">
        <f>'G Nut U'!F47+'R &amp; M U'!E27+'Linseed U'!E24</f>
        <v>2379.77</v>
      </c>
      <c r="F28" s="71">
        <f>'G Nut U'!G47+'R &amp; M U'!F27+'Linseed U'!F24</f>
        <v>3085.5809999999997</v>
      </c>
      <c r="G28" s="71">
        <f>'G Nut U'!H47+'R &amp; M U'!G27+'Linseed U'!G24</f>
        <v>3259.8560000000002</v>
      </c>
      <c r="H28" s="71">
        <f>'G Nut U'!I47+'R &amp; M U'!H27+'Linseed U'!H24</f>
        <v>3684.3681999999999</v>
      </c>
      <c r="I28" s="71">
        <f>'G Nut U'!J47+'R &amp; M U'!I27+'Linseed U'!I24</f>
        <v>3546.3467360000009</v>
      </c>
      <c r="J28" s="71">
        <f>'G Nut U'!K47+'R &amp; M U'!J27+'Linseed U'!J24</f>
        <v>4063.282333758792</v>
      </c>
      <c r="K28" s="71">
        <f>'G Nut U'!L47+'R &amp; M U'!K27+'Linseed U'!K24</f>
        <v>4213.9836113651099</v>
      </c>
      <c r="L28" s="83">
        <f t="shared" si="0"/>
        <v>1286.3578876754764</v>
      </c>
      <c r="M28" s="83">
        <f t="shared" si="1"/>
        <v>1417.854873735401</v>
      </c>
      <c r="N28" s="83">
        <f t="shared" si="2"/>
        <v>1600.76822862477</v>
      </c>
      <c r="O28" s="83">
        <f t="shared" si="3"/>
        <v>1707.4264881727192</v>
      </c>
      <c r="P28" s="83">
        <f t="shared" si="3"/>
        <v>1365.7018277481973</v>
      </c>
      <c r="Q28" s="139"/>
      <c r="R28" s="139"/>
    </row>
    <row r="29" spans="1:18" ht="25.5" customHeight="1" x14ac:dyDescent="0.2">
      <c r="A29" s="190" t="s">
        <v>51</v>
      </c>
      <c r="B29" s="71">
        <f>'R &amp; M U'!B28</f>
        <v>3.66</v>
      </c>
      <c r="C29" s="71">
        <f>'R &amp; M U'!C28</f>
        <v>3.67</v>
      </c>
      <c r="D29" s="71">
        <f>'R &amp; M U'!D28</f>
        <v>3.2109999999999999</v>
      </c>
      <c r="E29" s="71">
        <f>'R &amp; M U'!E28</f>
        <v>3.105</v>
      </c>
      <c r="F29" s="71">
        <f>'R &amp; M U'!F28</f>
        <v>3.133</v>
      </c>
      <c r="G29" s="71">
        <f>'R &amp; M U'!G28</f>
        <v>3.12</v>
      </c>
      <c r="H29" s="71">
        <f>'R &amp; M U'!H28</f>
        <v>3.18</v>
      </c>
      <c r="I29" s="71">
        <f>'R &amp; M U'!I28</f>
        <v>2.809625</v>
      </c>
      <c r="J29" s="71">
        <f>'R &amp; M U'!J28</f>
        <v>2.7199800000000001</v>
      </c>
      <c r="K29" s="71">
        <f>'R &amp; M U'!K28</f>
        <v>2.75</v>
      </c>
      <c r="L29" s="83">
        <f t="shared" si="0"/>
        <v>852.45901639344254</v>
      </c>
      <c r="M29" s="83">
        <f t="shared" si="1"/>
        <v>866.48501362397826</v>
      </c>
      <c r="N29" s="83">
        <f t="shared" si="2"/>
        <v>875</v>
      </c>
      <c r="O29" s="83">
        <f t="shared" si="3"/>
        <v>876</v>
      </c>
      <c r="P29" s="83">
        <f t="shared" si="3"/>
        <v>877.75295244174913</v>
      </c>
      <c r="Q29" s="139"/>
      <c r="R29" s="139"/>
    </row>
    <row r="30" spans="1:18" ht="25.5" customHeight="1" x14ac:dyDescent="0.2">
      <c r="A30" s="190" t="s">
        <v>19</v>
      </c>
      <c r="B30" s="71">
        <f>'G Nut U'!C50+'R &amp; M U'!B29+'Sunflower U'!C43</f>
        <v>130.47</v>
      </c>
      <c r="C30" s="71">
        <f>'G Nut U'!D50+'R &amp; M U'!C29+'Sunflower U'!D43</f>
        <v>93.46</v>
      </c>
      <c r="D30" s="71">
        <f>'G Nut U'!E50+'R &amp; M U'!D29+'Sunflower U'!E43</f>
        <v>145.31</v>
      </c>
      <c r="E30" s="71">
        <f>'R &amp; M U'!E29+'Sunflower U'!F43+'G Nut U'!F50</f>
        <v>143.81</v>
      </c>
      <c r="F30" s="71">
        <f>'R &amp; M U'!F29+'Sunflower U'!G43+'G Nut U'!G50</f>
        <v>141.71</v>
      </c>
      <c r="G30" s="71">
        <f>'G Nut U'!H50+'R &amp; M U'!G29+'Sunflower U'!H43</f>
        <v>413.74999999999994</v>
      </c>
      <c r="H30" s="71">
        <f>'G Nut U'!I50+'R &amp; M U'!H29+'Sunflower U'!I43</f>
        <v>284.94000000000005</v>
      </c>
      <c r="I30" s="71">
        <f>'G Nut U'!J50+'R &amp; M U'!I29+'Sunflower U'!J43</f>
        <v>548.72300000000007</v>
      </c>
      <c r="J30" s="71">
        <f>'G Nut U'!K50+'R &amp; M U'!J29+'Sunflower U'!K43</f>
        <v>487.77516999999995</v>
      </c>
      <c r="K30" s="71">
        <f>'G Nut U'!L50+'R &amp; M U'!K29+'Sunflower U'!L43</f>
        <v>518.18403999999998</v>
      </c>
      <c r="L30" s="83">
        <f t="shared" si="0"/>
        <v>3171.2271020157887</v>
      </c>
      <c r="M30" s="83">
        <f t="shared" si="1"/>
        <v>3048.7909265996154</v>
      </c>
      <c r="N30" s="83">
        <f t="shared" si="2"/>
        <v>3776.223246851559</v>
      </c>
      <c r="O30" s="83">
        <f t="shared" si="3"/>
        <v>3391.8028648911754</v>
      </c>
      <c r="P30" s="83">
        <f t="shared" si="3"/>
        <v>3656.6511890480556</v>
      </c>
      <c r="Q30" s="139"/>
      <c r="R30" s="139"/>
    </row>
    <row r="31" spans="1:18" ht="25.5" customHeight="1" x14ac:dyDescent="0.2">
      <c r="A31" s="190" t="s">
        <v>103</v>
      </c>
      <c r="B31" s="71">
        <f>'G Nut U'!C53+'R &amp; M U'!B30+'Safflower U'!B17+'Sunflower U'!C46</f>
        <v>130</v>
      </c>
      <c r="C31" s="71">
        <f>'G Nut U'!D53+'R &amp; M U'!C30+'Safflower U'!C17+'Sunflower U'!D46</f>
        <v>152</v>
      </c>
      <c r="D31" s="71">
        <f>'G Nut U'!E53+'R &amp; M U'!D30+'Safflower U'!D17+'Sunflower U'!E46</f>
        <v>156</v>
      </c>
      <c r="E31" s="71">
        <f>'G Nut U'!F53+'R &amp; M U'!E30+'Safflower U'!E17+'Sunflower U'!F46</f>
        <v>122</v>
      </c>
      <c r="F31" s="71">
        <f>'G Nut U'!G53+'R &amp; M U'!F30+'Safflower U'!F17+'Sunflower U'!G46</f>
        <v>106</v>
      </c>
      <c r="G31" s="71">
        <f>'G Nut U'!H53+'R &amp; M U'!G30+'Safflower U'!G17+'Sunflower U'!H46</f>
        <v>202</v>
      </c>
      <c r="H31" s="71">
        <f>'G Nut U'!I53+'R &amp; M U'!H30+'Safflower U'!H17+'Sunflower U'!I46</f>
        <v>307</v>
      </c>
      <c r="I31" s="71">
        <f>'G Nut U'!J53+'R &amp; M U'!I30+'Safflower U'!I17+'Sunflower U'!J46</f>
        <v>339.91099999999994</v>
      </c>
      <c r="J31" s="71">
        <f>'G Nut U'!K53+'R &amp; M U'!J30+'Safflower U'!J17+'Sunflower U'!K46</f>
        <v>294.75200000000001</v>
      </c>
      <c r="K31" s="71">
        <f>'G Nut U'!L53+'R &amp; M U'!K30+'Safflower U'!K17+'Sunflower U'!L46</f>
        <v>245.292</v>
      </c>
      <c r="L31" s="83">
        <f t="shared" si="0"/>
        <v>1553.8461538461538</v>
      </c>
      <c r="M31" s="83">
        <f t="shared" si="1"/>
        <v>2019.7368421052633</v>
      </c>
      <c r="N31" s="83">
        <f t="shared" si="2"/>
        <v>2178.9166666666665</v>
      </c>
      <c r="O31" s="83">
        <f t="shared" si="3"/>
        <v>2416</v>
      </c>
      <c r="P31" s="83">
        <f t="shared" si="3"/>
        <v>2314.0754716981132</v>
      </c>
      <c r="Q31" s="139"/>
      <c r="R31" s="139"/>
    </row>
    <row r="32" spans="1:18" ht="25.5" customHeight="1" x14ac:dyDescent="0.2">
      <c r="A32" s="190" t="s">
        <v>52</v>
      </c>
      <c r="B32" s="71">
        <f>'G Nut U'!C56+'R &amp; M U'!B31+'Linseed U'!B26</f>
        <v>7.2640000000000002</v>
      </c>
      <c r="C32" s="71">
        <f>'G Nut U'!D56+'R &amp; M U'!C31+'Linseed U'!C26</f>
        <v>8.65</v>
      </c>
      <c r="D32" s="71">
        <f>'G Nut U'!E56+'R &amp; M U'!D31+'Linseed U'!D26</f>
        <v>9.0629999999999988</v>
      </c>
      <c r="E32" s="71">
        <f>'G Nut U'!F56+'R &amp; M U'!E31+'Linseed U'!E26</f>
        <v>8.7760000000000016</v>
      </c>
      <c r="F32" s="71">
        <f>'G Nut U'!G56+'R &amp; M U'!F31+'Linseed U'!F26</f>
        <v>9.1479999999999997</v>
      </c>
      <c r="G32" s="71">
        <f>'G Nut U'!H56+'R &amp; M U'!G31+'Linseed U'!G26</f>
        <v>6.1470000000000002</v>
      </c>
      <c r="H32" s="71">
        <f>'G Nut U'!I56+'R &amp; M U'!H31+'Linseed U'!H26</f>
        <v>7.8770000000000007</v>
      </c>
      <c r="I32" s="71">
        <f>'G Nut U'!J56+'R &amp; M U'!I31+'Linseed U'!I26</f>
        <v>7.9670379999999996</v>
      </c>
      <c r="J32" s="71">
        <f>'G Nut U'!K56+'R &amp; M U'!J31+'Linseed U'!J26</f>
        <v>7.8931930000000001</v>
      </c>
      <c r="K32" s="71">
        <f>'G Nut U'!L56+'R &amp; M U'!K31+'Linseed U'!K26</f>
        <v>8.42</v>
      </c>
      <c r="L32" s="158">
        <f t="shared" si="0"/>
        <v>846.22797356828198</v>
      </c>
      <c r="M32" s="158">
        <f t="shared" si="1"/>
        <v>910.63583815028903</v>
      </c>
      <c r="N32" s="158">
        <f t="shared" si="2"/>
        <v>879.07293390709481</v>
      </c>
      <c r="O32" s="158">
        <f t="shared" si="3"/>
        <v>899.40667730173186</v>
      </c>
      <c r="P32" s="158">
        <f t="shared" si="3"/>
        <v>920.41976388281603</v>
      </c>
      <c r="Q32" s="159"/>
      <c r="R32" s="159"/>
    </row>
    <row r="33" spans="1:18" ht="25.5" customHeight="1" x14ac:dyDescent="0.2">
      <c r="A33" s="190" t="s">
        <v>22</v>
      </c>
      <c r="B33" s="71">
        <f>'R &amp; M U'!B32+'Linseed U'!B27+'Sunflower U'!C48</f>
        <v>612</v>
      </c>
      <c r="C33" s="71">
        <f>'R &amp; M U'!C32+'Linseed U'!C27+'Sunflower U'!D48</f>
        <v>724</v>
      </c>
      <c r="D33" s="71">
        <f>'R &amp; M U'!D32+'Linseed U'!D27+'Sunflower U'!E48</f>
        <v>707</v>
      </c>
      <c r="E33" s="71">
        <f>'R &amp; M U'!E32+'Linseed U'!E27+'Sunflower U'!F48</f>
        <v>782</v>
      </c>
      <c r="F33" s="71">
        <f>'R &amp; M U'!F32+'Linseed U'!F27+'Sunflower U'!G48</f>
        <v>790.3</v>
      </c>
      <c r="G33" s="71">
        <f>'R &amp; M U'!G32+'Linseed U'!G27+'Sunflower U'!H48</f>
        <v>614.82000000000005</v>
      </c>
      <c r="H33" s="71">
        <f>'R &amp; M U'!H32+'Linseed U'!H27+'Sunflower U'!I48</f>
        <v>879</v>
      </c>
      <c r="I33" s="71">
        <f>'R &amp; M U'!I32+'Linseed U'!I27+'Sunflower U'!J48</f>
        <v>963.70400000000006</v>
      </c>
      <c r="J33" s="71">
        <f>'R &amp; M U'!J32+'Linseed U'!J27+'Sunflower U'!K48</f>
        <v>1135.732</v>
      </c>
      <c r="K33" s="71">
        <f>'R &amp; M U'!K32+'Linseed U'!K27+'Sunflower U'!L48</f>
        <v>980.822</v>
      </c>
      <c r="L33" s="83">
        <f t="shared" si="0"/>
        <v>1004.6078431372549</v>
      </c>
      <c r="M33" s="83">
        <f t="shared" si="1"/>
        <v>1214.0883977900551</v>
      </c>
      <c r="N33" s="83">
        <f t="shared" si="2"/>
        <v>1363.0891089108911</v>
      </c>
      <c r="O33" s="83">
        <f t="shared" si="3"/>
        <v>1452.3427109974425</v>
      </c>
      <c r="P33" s="83">
        <f t="shared" si="3"/>
        <v>1241.0755409338228</v>
      </c>
      <c r="Q33" s="139"/>
      <c r="R33" s="139"/>
    </row>
    <row r="34" spans="1:18" ht="25.5" customHeight="1" x14ac:dyDescent="0.2">
      <c r="A34" s="190" t="s">
        <v>84</v>
      </c>
      <c r="B34" s="71">
        <f>'R &amp; M U'!B33+'Linseed U'!B28</f>
        <v>15.86</v>
      </c>
      <c r="C34" s="71">
        <f>'R &amp; M U'!C33+'Linseed U'!C28</f>
        <v>13</v>
      </c>
      <c r="D34" s="71">
        <f>'R &amp; M U'!D33+'Linseed U'!D28</f>
        <v>16</v>
      </c>
      <c r="E34" s="71">
        <f>'R &amp; M U'!E33+'Linseed U'!E28</f>
        <v>17</v>
      </c>
      <c r="F34" s="71">
        <f>'R &amp; M U'!F33+'Linseed U'!F28</f>
        <v>15</v>
      </c>
      <c r="G34" s="71">
        <f>'R &amp; M U'!G33+'Linseed U'!G28</f>
        <v>15.52</v>
      </c>
      <c r="H34" s="71">
        <f>'R &amp; M U'!H33+'Linseed U'!H28</f>
        <v>11</v>
      </c>
      <c r="I34" s="71">
        <f>'R &amp; M U'!I33+'Linseed U'!I28</f>
        <v>12.704000000000001</v>
      </c>
      <c r="J34" s="71">
        <f>'R &amp; M U'!J33+'Linseed U'!J28</f>
        <v>15.962999999999999</v>
      </c>
      <c r="K34" s="71">
        <f>'R &amp; M U'!K33+'Linseed U'!K28</f>
        <v>14.505000000000001</v>
      </c>
      <c r="L34" s="83">
        <f t="shared" si="0"/>
        <v>978.56242118537205</v>
      </c>
      <c r="M34" s="83">
        <f t="shared" si="1"/>
        <v>846.15384615384619</v>
      </c>
      <c r="N34" s="83">
        <f t="shared" si="2"/>
        <v>794</v>
      </c>
      <c r="O34" s="83">
        <f t="shared" si="3"/>
        <v>939</v>
      </c>
      <c r="P34" s="83">
        <f t="shared" si="3"/>
        <v>967.00000000000011</v>
      </c>
      <c r="Q34" s="139"/>
      <c r="R34" s="139"/>
    </row>
    <row r="35" spans="1:18" ht="25.5" customHeight="1" x14ac:dyDescent="0.2">
      <c r="A35" s="190" t="s">
        <v>23</v>
      </c>
      <c r="B35" s="71">
        <f>'G Nut U'!C61+'R &amp; M U'!B34+'Linseed U'!B29+'Safflower U'!B18+'Sunflower U'!C50</f>
        <v>559.12099999999998</v>
      </c>
      <c r="C35" s="71">
        <f>'G Nut U'!D61+'R &amp; M U'!C34+'Linseed U'!C29+'Safflower U'!C18+'Sunflower U'!D50</f>
        <v>552.45500000000004</v>
      </c>
      <c r="D35" s="71">
        <f>'G Nut U'!E61+'R &amp; M U'!D34+'Linseed U'!D29+'Safflower U'!D18+'Sunflower U'!E50</f>
        <v>697.5</v>
      </c>
      <c r="E35" s="71">
        <f>'G Nut U'!F61+'R &amp; M U'!E34+'Linseed U'!E29+'Safflower U'!E18+'Sunflower U'!F50</f>
        <v>681.803</v>
      </c>
      <c r="F35" s="71">
        <f>'G Nut U'!G61+'R &amp; M U'!F34+'Linseed U'!F29+'Safflower U'!F18+'Sunflower U'!G50</f>
        <v>689.21899999999994</v>
      </c>
      <c r="G35" s="71">
        <f>'G Nut U'!H61+'R &amp; M U'!G34+'Linseed U'!G29+'Safflower U'!G18+'Sunflower U'!H50</f>
        <v>707.4</v>
      </c>
      <c r="H35" s="71">
        <f>'G Nut U'!I61+'R &amp; M U'!H34+'Linseed U'!H29+'Safflower U'!H18+'Sunflower U'!I50</f>
        <v>685.93799999999987</v>
      </c>
      <c r="I35" s="71">
        <f>'G Nut U'!J61+'R &amp; M U'!I34+'Linseed U'!I29+'Safflower U'!I18+'Sunflower U'!J50</f>
        <v>899.40000000000009</v>
      </c>
      <c r="J35" s="71">
        <f>'G Nut U'!K61+'R &amp; M U'!J34+'Linseed U'!J29+'Safflower U'!J18+'Sunflower U'!K50</f>
        <v>928.26331399999992</v>
      </c>
      <c r="K35" s="71">
        <f>'G Nut U'!L61+'R &amp; M U'!K34+'Linseed U'!K29+'Safflower U'!K18+'Sunflower U'!L50</f>
        <v>875.50465100000008</v>
      </c>
      <c r="L35" s="83">
        <f t="shared" si="0"/>
        <v>1265.2001981681963</v>
      </c>
      <c r="M35" s="83">
        <f t="shared" si="1"/>
        <v>1241.6178693287231</v>
      </c>
      <c r="N35" s="83">
        <f t="shared" si="2"/>
        <v>1289.4623655913979</v>
      </c>
      <c r="O35" s="83">
        <f t="shared" si="3"/>
        <v>1361.4831762253905</v>
      </c>
      <c r="P35" s="83">
        <f t="shared" si="3"/>
        <v>1270.2851357841269</v>
      </c>
      <c r="Q35" s="139"/>
      <c r="R35" s="139"/>
    </row>
    <row r="36" spans="1:18" ht="25.5" customHeight="1" x14ac:dyDescent="0.2">
      <c r="A36" s="190" t="s">
        <v>102</v>
      </c>
      <c r="B36" s="71">
        <f>'R &amp; M U'!B35</f>
        <v>5.3E-3</v>
      </c>
      <c r="C36" s="71">
        <f>'R &amp; M U'!C35</f>
        <v>4.4999999999999997E-3</v>
      </c>
      <c r="D36" s="71">
        <f>'R &amp; M U'!D35</f>
        <v>1E-4</v>
      </c>
      <c r="E36" s="71">
        <f>'R &amp; M U'!E35</f>
        <v>2.9999999999999997E-4</v>
      </c>
      <c r="F36" s="71">
        <f>'R &amp; M U'!F35</f>
        <v>0</v>
      </c>
      <c r="G36" s="71">
        <f>'R &amp; M U'!G35</f>
        <v>1.3500000000000001E-3</v>
      </c>
      <c r="H36" s="71">
        <f>'R &amp; M U'!H35</f>
        <v>1.16E-3</v>
      </c>
      <c r="I36" s="71">
        <f>'R &amp; M U'!I35</f>
        <v>2.9999999999999997E-4</v>
      </c>
      <c r="J36" s="71">
        <f>'R &amp; M U'!J35</f>
        <v>1.1999999999999999E-3</v>
      </c>
      <c r="K36" s="71">
        <f>'R &amp; M U'!K35</f>
        <v>0</v>
      </c>
      <c r="L36" s="83">
        <f t="shared" si="0"/>
        <v>254.71698113207546</v>
      </c>
      <c r="M36" s="83">
        <f t="shared" si="1"/>
        <v>257.77777777777777</v>
      </c>
      <c r="N36" s="83">
        <f t="shared" si="2"/>
        <v>2999.9999999999995</v>
      </c>
      <c r="O36" s="83">
        <f t="shared" si="3"/>
        <v>4000</v>
      </c>
      <c r="P36" s="83" t="e">
        <f t="shared" si="3"/>
        <v>#DIV/0!</v>
      </c>
      <c r="Q36" s="139"/>
      <c r="R36" s="139"/>
    </row>
    <row r="37" spans="1:18" ht="25.5" customHeight="1" x14ac:dyDescent="0.2">
      <c r="A37" s="190" t="s">
        <v>110</v>
      </c>
      <c r="B37" s="71">
        <f>'R &amp; M U'!B36</f>
        <v>0</v>
      </c>
      <c r="C37" s="71">
        <f>'R &amp; M U'!C36</f>
        <v>5.0000000000000001E-3</v>
      </c>
      <c r="D37" s="71">
        <f>'R &amp; M U'!D36</f>
        <v>5.0000000000000001E-3</v>
      </c>
      <c r="E37" s="71">
        <f>'R &amp; M U'!E36</f>
        <v>0</v>
      </c>
      <c r="F37" s="71">
        <f>'R &amp; M U'!F36</f>
        <v>5.0000000000000001E-3</v>
      </c>
      <c r="G37" s="71">
        <f>'R &amp; M U'!G36</f>
        <v>0</v>
      </c>
      <c r="H37" s="71">
        <f>'R &amp; M U'!H36</f>
        <v>2.5000000000000001E-3</v>
      </c>
      <c r="I37" s="71">
        <f>'R &amp; M U'!I36</f>
        <v>2.5000000000000001E-3</v>
      </c>
      <c r="J37" s="71">
        <f>'R &amp; M U'!J36</f>
        <v>0</v>
      </c>
      <c r="K37" s="71">
        <f>'R &amp; M U'!K36</f>
        <v>2.5000000000000001E-3</v>
      </c>
      <c r="L37" s="83" t="e">
        <f t="shared" si="0"/>
        <v>#DIV/0!</v>
      </c>
      <c r="M37" s="83">
        <f t="shared" si="1"/>
        <v>500</v>
      </c>
      <c r="N37" s="83">
        <f t="shared" si="2"/>
        <v>500</v>
      </c>
      <c r="O37" s="83" t="e">
        <f t="shared" si="3"/>
        <v>#DIV/0!</v>
      </c>
      <c r="P37" s="83">
        <f t="shared" si="3"/>
        <v>500</v>
      </c>
      <c r="Q37" s="139"/>
      <c r="R37" s="139"/>
    </row>
    <row r="38" spans="1:18" ht="25.5" customHeight="1" x14ac:dyDescent="0.2">
      <c r="A38" s="190" t="s">
        <v>54</v>
      </c>
      <c r="B38" s="71">
        <f>'R &amp; M U'!B37</f>
        <v>3.6850000000000001</v>
      </c>
      <c r="C38" s="71">
        <f>'R &amp; M U'!C37</f>
        <v>3.6280000000000001</v>
      </c>
      <c r="D38" s="71">
        <f>'R &amp; M U'!D37</f>
        <v>3.593</v>
      </c>
      <c r="E38" s="71">
        <f>'R &amp; M U'!E37</f>
        <v>3.585</v>
      </c>
      <c r="F38" s="71">
        <f>'R &amp; M U'!F37</f>
        <v>3.585</v>
      </c>
      <c r="G38" s="71">
        <f>'R &amp; M U'!G37</f>
        <v>4.6429999999999998</v>
      </c>
      <c r="H38" s="71">
        <f>'R &amp; M U'!H37</f>
        <v>4.5270000000000001</v>
      </c>
      <c r="I38" s="71">
        <f>'R &amp; M U'!I37</f>
        <v>4.5271800000000004</v>
      </c>
      <c r="J38" s="71">
        <f>'R &amp; M U'!J37</f>
        <v>4.5242699999999996</v>
      </c>
      <c r="K38" s="71">
        <f>'R &amp; M U'!K37</f>
        <v>4.5199999999999996</v>
      </c>
      <c r="L38" s="83">
        <f>G38/B38*1000</f>
        <v>1259.9728629579374</v>
      </c>
      <c r="M38" s="83">
        <f t="shared" si="1"/>
        <v>1247.7949283351709</v>
      </c>
      <c r="N38" s="83">
        <f t="shared" si="2"/>
        <v>1260.0000000000002</v>
      </c>
      <c r="O38" s="83">
        <f t="shared" si="3"/>
        <v>1261.9999999999998</v>
      </c>
      <c r="P38" s="83">
        <f t="shared" si="3"/>
        <v>1260.8089260808927</v>
      </c>
      <c r="Q38" s="139"/>
      <c r="R38" s="139"/>
    </row>
    <row r="39" spans="1:18" ht="25.5" customHeight="1" x14ac:dyDescent="0.2">
      <c r="A39" s="190" t="s">
        <v>137</v>
      </c>
      <c r="B39" s="71">
        <f>'G Nut U'!C65</f>
        <v>5.5E-2</v>
      </c>
      <c r="C39" s="71">
        <f>'G Nut U'!D65</f>
        <v>0.04</v>
      </c>
      <c r="D39" s="71">
        <f>'G Nut U'!E65</f>
        <v>2.5999999999999999E-2</v>
      </c>
      <c r="E39" s="71">
        <f>'G Nut U'!F65</f>
        <v>1.2999999999999999E-2</v>
      </c>
      <c r="F39" s="71">
        <f>'G Nut U'!G65</f>
        <v>2.1000000000000001E-2</v>
      </c>
      <c r="G39" s="71">
        <f>'G Nut U'!H65</f>
        <v>0.16500000000000001</v>
      </c>
      <c r="H39" s="71">
        <f>'G Nut U'!I65</f>
        <v>0.112</v>
      </c>
      <c r="I39" s="71">
        <f>'G Nut U'!J65</f>
        <v>7.8E-2</v>
      </c>
      <c r="J39" s="71">
        <f>'G Nut U'!K65</f>
        <v>4.2002999999999999E-2</v>
      </c>
      <c r="K39" s="71">
        <f>'G Nut U'!L65</f>
        <v>6.3E-2</v>
      </c>
      <c r="L39" s="83">
        <f>G39/B39*1000</f>
        <v>3000</v>
      </c>
      <c r="M39" s="83">
        <f t="shared" si="1"/>
        <v>2800</v>
      </c>
      <c r="N39" s="83">
        <f t="shared" si="2"/>
        <v>3000</v>
      </c>
      <c r="O39" s="83">
        <f t="shared" si="3"/>
        <v>3231</v>
      </c>
      <c r="P39" s="83">
        <f>K39/F39*1000</f>
        <v>3000</v>
      </c>
      <c r="Q39" s="139"/>
      <c r="R39" s="139"/>
    </row>
    <row r="40" spans="1:18" s="65" customFormat="1" ht="25.5" customHeight="1" x14ac:dyDescent="0.2">
      <c r="A40" s="190" t="s">
        <v>44</v>
      </c>
      <c r="B40" s="72">
        <f>'G Nut U'!C68+'R &amp; M U'!B38+'Linseed U'!B31+'Safflower U'!B19+'Sunflower U'!C53</f>
        <v>7223.8583000000008</v>
      </c>
      <c r="C40" s="72">
        <f>'G Nut U'!D68+'R &amp; M U'!C38+'Linseed U'!C31+'Safflower U'!C19+'Sunflower U'!D53</f>
        <v>7510.6184999999996</v>
      </c>
      <c r="D40" s="72">
        <f>'G Nut U'!E68+'R &amp; M U'!D38+'Linseed U'!D31+'Safflower U'!D19+'Sunflower U'!E53</f>
        <v>7279.4141</v>
      </c>
      <c r="E40" s="72">
        <f>'G Nut U'!F68+'R &amp; M U'!E38+'Linseed U'!E31+'Safflower U'!E19+'Sunflower U'!F53</f>
        <v>7085.4857000000002</v>
      </c>
      <c r="F40" s="72">
        <f>'G Nut U'!G68+'R &amp; M U'!F38+'Linseed U'!F31+'Safflower U'!F19+'Sunflower U'!G53</f>
        <v>7855.5240000000003</v>
      </c>
      <c r="G40" s="72">
        <f>'G Nut U'!H68+'R &amp; M U'!G38+'Linseed U'!G31+'Safflower U'!G19+'Sunflower U'!H53</f>
        <v>8571.0778919999993</v>
      </c>
      <c r="H40" s="72">
        <f>'G Nut U'!I68+'R &amp; M U'!H38+'Linseed U'!H31+'Safflower U'!H19+'Sunflower U'!I53</f>
        <v>9762.3518600000007</v>
      </c>
      <c r="I40" s="72">
        <f>'G Nut U'!J68+'R &amp; M U'!I38+'Linseed U'!I31+'Safflower U'!I19+'Sunflower U'!J53</f>
        <v>10453.008742000002</v>
      </c>
      <c r="J40" s="72">
        <f>'G Nut U'!K68+'R &amp; M U'!J38+'Linseed U'!J31+'Safflower U'!J19+'Sunflower U'!K53</f>
        <v>10845.585602758792</v>
      </c>
      <c r="K40" s="72">
        <f>'G Nut U'!L68+'Sunflower U'!L53+'R &amp; M U'!K38+'Linseed U'!K31+'Safflower U'!K19</f>
        <v>10971.835777365108</v>
      </c>
      <c r="L40" s="84">
        <f t="shared" si="0"/>
        <v>1186.4958497317143</v>
      </c>
      <c r="M40" s="84">
        <f t="shared" si="1"/>
        <v>1299.8066484138424</v>
      </c>
      <c r="N40" s="84">
        <f t="shared" si="2"/>
        <v>1435.9684170186172</v>
      </c>
      <c r="O40" s="84">
        <f t="shared" si="3"/>
        <v>1530.6763801328104</v>
      </c>
      <c r="P40" s="84">
        <f t="shared" si="3"/>
        <v>1396.7032342292007</v>
      </c>
      <c r="Q40" s="141"/>
      <c r="R40" s="141"/>
    </row>
    <row r="41" spans="1:18" x14ac:dyDescent="0.2">
      <c r="A41" s="38"/>
    </row>
    <row r="43" spans="1:18" x14ac:dyDescent="0.2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8" x14ac:dyDescent="0.2">
      <c r="B44" s="8"/>
      <c r="C44" s="8"/>
      <c r="D44" s="8"/>
      <c r="E44" s="8"/>
      <c r="F44" s="8"/>
      <c r="G44" s="8"/>
      <c r="H44" s="8"/>
      <c r="I44" s="8"/>
      <c r="J44" s="128"/>
      <c r="K44" s="128"/>
    </row>
    <row r="45" spans="1:18" x14ac:dyDescent="0.2">
      <c r="D45" s="97"/>
      <c r="E45" s="97"/>
      <c r="F45" s="97"/>
    </row>
  </sheetData>
  <mergeCells count="5">
    <mergeCell ref="A5:A6"/>
    <mergeCell ref="A4:M4"/>
    <mergeCell ref="B5:F5"/>
    <mergeCell ref="L5:P5"/>
    <mergeCell ref="G5:K5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5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4:R44"/>
  <sheetViews>
    <sheetView view="pageBreakPreview" zoomScale="60" zoomScaleNormal="60" workbookViewId="0">
      <pane xSplit="1" ySplit="6" topLeftCell="B7" activePane="bottomRight" state="frozen"/>
      <selection pane="topRight"/>
      <selection pane="bottomLeft"/>
      <selection pane="bottomRight" activeCell="S1" sqref="S1"/>
    </sheetView>
  </sheetViews>
  <sheetFormatPr defaultRowHeight="18" x14ac:dyDescent="0.2"/>
  <cols>
    <col min="1" max="1" width="26.5703125" style="2" customWidth="1"/>
    <col min="2" max="10" width="13.85546875" style="2" customWidth="1"/>
    <col min="11" max="11" width="13.85546875" style="39" customWidth="1"/>
    <col min="12" max="13" width="11.140625" style="2" customWidth="1"/>
    <col min="14" max="16" width="11" style="2" customWidth="1"/>
    <col min="17" max="18" width="11" style="11" customWidth="1"/>
    <col min="19" max="16384" width="9.140625" style="2"/>
  </cols>
  <sheetData>
    <row r="4" spans="1:18" ht="27.75" customHeight="1" x14ac:dyDescent="0.2">
      <c r="A4" s="232" t="s">
        <v>129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66"/>
      <c r="O4" s="66"/>
      <c r="P4" s="66"/>
      <c r="Q4" s="66"/>
      <c r="R4" s="66"/>
    </row>
    <row r="5" spans="1:18" ht="21.75" customHeight="1" x14ac:dyDescent="0.2">
      <c r="A5" s="209" t="s">
        <v>140</v>
      </c>
      <c r="B5" s="233" t="s">
        <v>80</v>
      </c>
      <c r="C5" s="233"/>
      <c r="D5" s="233"/>
      <c r="E5" s="233"/>
      <c r="F5" s="233"/>
      <c r="G5" s="233" t="s">
        <v>81</v>
      </c>
      <c r="H5" s="233"/>
      <c r="I5" s="233"/>
      <c r="J5" s="233"/>
      <c r="K5" s="233"/>
      <c r="L5" s="213" t="s">
        <v>78</v>
      </c>
      <c r="M5" s="213"/>
      <c r="N5" s="213"/>
      <c r="O5" s="213"/>
      <c r="P5" s="213"/>
      <c r="Q5" s="108"/>
      <c r="R5" s="108"/>
    </row>
    <row r="6" spans="1:18" s="9" customFormat="1" ht="29.25" customHeight="1" x14ac:dyDescent="0.2">
      <c r="A6" s="209"/>
      <c r="B6" s="191" t="s">
        <v>107</v>
      </c>
      <c r="C6" s="191" t="s">
        <v>108</v>
      </c>
      <c r="D6" s="191" t="s">
        <v>111</v>
      </c>
      <c r="E6" s="191" t="s">
        <v>138</v>
      </c>
      <c r="F6" s="191" t="s">
        <v>141</v>
      </c>
      <c r="G6" s="191" t="s">
        <v>107</v>
      </c>
      <c r="H6" s="191" t="s">
        <v>108</v>
      </c>
      <c r="I6" s="191" t="s">
        <v>111</v>
      </c>
      <c r="J6" s="191" t="s">
        <v>138</v>
      </c>
      <c r="K6" s="191" t="s">
        <v>141</v>
      </c>
      <c r="L6" s="189" t="s">
        <v>107</v>
      </c>
      <c r="M6" s="189" t="s">
        <v>108</v>
      </c>
      <c r="N6" s="189" t="s">
        <v>111</v>
      </c>
      <c r="O6" s="191" t="s">
        <v>138</v>
      </c>
      <c r="P6" s="191" t="s">
        <v>141</v>
      </c>
      <c r="Q6" s="157"/>
      <c r="R6" s="157"/>
    </row>
    <row r="7" spans="1:18" ht="20.25" customHeight="1" x14ac:dyDescent="0.2">
      <c r="A7" s="190" t="s">
        <v>1</v>
      </c>
      <c r="B7" s="63">
        <f>'Kh Oil U'!B7+'Rb Oil  U'!B7</f>
        <v>915</v>
      </c>
      <c r="C7" s="63">
        <f>'Kh Oil U'!C7+'Rb Oil  U'!C7</f>
        <v>1144</v>
      </c>
      <c r="D7" s="63">
        <f>'Kh Oil U'!D7+'Rb Oil  U'!D7</f>
        <v>825.529</v>
      </c>
      <c r="E7" s="63">
        <f>'Kh Oil U'!E7+'Rb Oil  U'!E7</f>
        <v>857</v>
      </c>
      <c r="F7" s="63">
        <f>'Kh Oil U'!F7+'Rb Oil  U'!F7</f>
        <v>755</v>
      </c>
      <c r="G7" s="63">
        <f>'Kh Oil U'!G7+'Rb Oil  U'!G7</f>
        <v>873</v>
      </c>
      <c r="H7" s="63">
        <f>'Kh Oil U'!H7+'Rb Oil  U'!H7</f>
        <v>664.22399999999993</v>
      </c>
      <c r="I7" s="63">
        <f>'Kh Oil U'!I7+'Rb Oil  U'!I7</f>
        <v>1096.6592810000002</v>
      </c>
      <c r="J7" s="63">
        <f>'Kh Oil U'!J7+'Rb Oil  U'!J7</f>
        <v>504.41199999999998</v>
      </c>
      <c r="K7" s="63">
        <f>'Kh Oil U'!K7+'Rb Oil  U'!K7</f>
        <v>901.1669999999998</v>
      </c>
      <c r="L7" s="76">
        <f t="shared" ref="L7:L40" si="0">G7/B7*1000</f>
        <v>954.09836065573768</v>
      </c>
      <c r="M7" s="76">
        <f t="shared" ref="M7:M40" si="1">H7/C7*1000</f>
        <v>580.61538461538453</v>
      </c>
      <c r="N7" s="76">
        <f t="shared" ref="N7:N40" si="2">I7/D7*1000</f>
        <v>1328.4321701599827</v>
      </c>
      <c r="O7" s="76">
        <f t="shared" ref="O7:P40" si="3">J7/E7*1000</f>
        <v>588.57876312718781</v>
      </c>
      <c r="P7" s="76">
        <f t="shared" si="3"/>
        <v>1193.5986754966884</v>
      </c>
      <c r="Q7" s="135"/>
      <c r="R7" s="135"/>
    </row>
    <row r="8" spans="1:18" ht="20.25" customHeight="1" x14ac:dyDescent="0.2">
      <c r="A8" s="190" t="s">
        <v>32</v>
      </c>
      <c r="B8" s="63">
        <f>'Kh Oil U'!B8+'Rb Oil  U'!B8</f>
        <v>35.006999999999998</v>
      </c>
      <c r="C8" s="63">
        <f>'Kh Oil U'!C8+'Rb Oil  U'!C8</f>
        <v>35.215000000000003</v>
      </c>
      <c r="D8" s="63">
        <f>'Kh Oil U'!D8+'Rb Oil  U'!D8</f>
        <v>35.57</v>
      </c>
      <c r="E8" s="63">
        <f>'Kh Oil U'!E8+'Rb Oil  U'!E8</f>
        <v>35.6</v>
      </c>
      <c r="F8" s="63">
        <f>'Kh Oil U'!F8+'Rb Oil  U'!F8</f>
        <v>35.67</v>
      </c>
      <c r="G8" s="63">
        <f>'Kh Oil U'!G8+'Rb Oil  U'!G8</f>
        <v>36.403999999999996</v>
      </c>
      <c r="H8" s="63">
        <f>'Kh Oil U'!H8+'Rb Oil  U'!H8</f>
        <v>36.623999999999995</v>
      </c>
      <c r="I8" s="63">
        <f>'Kh Oil U'!I8+'Rb Oil  U'!I8</f>
        <v>36.99971</v>
      </c>
      <c r="J8" s="63">
        <f>'Kh Oil U'!J8+'Rb Oil  U'!J8</f>
        <v>37.032096000000003</v>
      </c>
      <c r="K8" s="63">
        <f>'Kh Oil U'!K8+'Rb Oil  U'!K8</f>
        <v>37.144492</v>
      </c>
      <c r="L8" s="76">
        <f t="shared" si="0"/>
        <v>1039.906304453395</v>
      </c>
      <c r="M8" s="76">
        <f t="shared" si="1"/>
        <v>1040.0113587959675</v>
      </c>
      <c r="N8" s="76">
        <f t="shared" si="2"/>
        <v>1040.194264829913</v>
      </c>
      <c r="O8" s="76">
        <f t="shared" si="3"/>
        <v>1040.227415730337</v>
      </c>
      <c r="P8" s="76">
        <f t="shared" si="3"/>
        <v>1041.3370339220633</v>
      </c>
      <c r="Q8" s="135"/>
      <c r="R8" s="135"/>
    </row>
    <row r="9" spans="1:18" ht="20.25" customHeight="1" x14ac:dyDescent="0.2">
      <c r="A9" s="190" t="s">
        <v>28</v>
      </c>
      <c r="B9" s="63">
        <f>'Kh Oil U'!B9+'Rb Oil  U'!B9</f>
        <v>310.13400000000001</v>
      </c>
      <c r="C9" s="63">
        <f>'Kh Oil U'!C9+'Rb Oil  U'!C9</f>
        <v>317.58100000000002</v>
      </c>
      <c r="D9" s="63">
        <f>'Kh Oil U'!D9+'Rb Oil  U'!D9</f>
        <v>314.22900000000004</v>
      </c>
      <c r="E9" s="63">
        <f>'Kh Oil U'!E9+'Rb Oil  U'!E9</f>
        <v>308.88</v>
      </c>
      <c r="F9" s="63">
        <f>'Kh Oil U'!F9+'Rb Oil  U'!F9</f>
        <v>310.822</v>
      </c>
      <c r="G9" s="63">
        <f>'Kh Oil U'!G9+'Rb Oil  U'!G9</f>
        <v>215.19399999999999</v>
      </c>
      <c r="H9" s="63">
        <f>'Kh Oil U'!H9+'Rb Oil  U'!H9</f>
        <v>204.30699999999999</v>
      </c>
      <c r="I9" s="63">
        <f>'Kh Oil U'!I9+'Rb Oil  U'!I9</f>
        <v>200.621667</v>
      </c>
      <c r="J9" s="63">
        <f>'Kh Oil U'!J9+'Rb Oil  U'!J9</f>
        <v>198.42642299999997</v>
      </c>
      <c r="K9" s="63">
        <f>'Kh Oil U'!K9+'Rb Oil  U'!K9</f>
        <v>192.40900799999997</v>
      </c>
      <c r="L9" s="76">
        <f t="shared" si="0"/>
        <v>693.87426080339458</v>
      </c>
      <c r="M9" s="76">
        <f t="shared" si="1"/>
        <v>643.32249095506336</v>
      </c>
      <c r="N9" s="76">
        <f t="shared" si="2"/>
        <v>638.4568801733767</v>
      </c>
      <c r="O9" s="76">
        <f t="shared" si="3"/>
        <v>642.40618686868675</v>
      </c>
      <c r="P9" s="76">
        <f t="shared" si="3"/>
        <v>619.03278403716592</v>
      </c>
      <c r="Q9" s="135"/>
      <c r="R9" s="135"/>
    </row>
    <row r="10" spans="1:18" ht="20.25" customHeight="1" x14ac:dyDescent="0.2">
      <c r="A10" s="190" t="s">
        <v>40</v>
      </c>
      <c r="B10" s="63">
        <f>'Kh Oil U'!B10+'Rb Oil  U'!B10</f>
        <v>119.97599999999998</v>
      </c>
      <c r="C10" s="63">
        <f>'Kh Oil U'!C10+'Rb Oil  U'!C10</f>
        <v>108.52</v>
      </c>
      <c r="D10" s="63">
        <f>'Kh Oil U'!D10+'Rb Oil  U'!D10</f>
        <v>103.15</v>
      </c>
      <c r="E10" s="63">
        <f>'Kh Oil U'!E10+'Rb Oil  U'!E10</f>
        <v>100.18399999999998</v>
      </c>
      <c r="F10" s="63">
        <f>'Kh Oil U'!F10+'Rb Oil  U'!F10</f>
        <v>113.14699999999999</v>
      </c>
      <c r="G10" s="63">
        <f>'Kh Oil U'!G10+'Rb Oil  U'!G10</f>
        <v>126.523</v>
      </c>
      <c r="H10" s="63">
        <f>'Kh Oil U'!H10+'Rb Oil  U'!H10</f>
        <v>125.86200000000001</v>
      </c>
      <c r="I10" s="63">
        <f>'Kh Oil U'!I10+'Rb Oil  U'!I10</f>
        <v>124.25914600000002</v>
      </c>
      <c r="J10" s="63">
        <f>'Kh Oil U'!J10+'Rb Oil  U'!J10</f>
        <v>125.04831833772653</v>
      </c>
      <c r="K10" s="63">
        <f>'Kh Oil U'!K10+'Rb Oil  U'!K10</f>
        <v>124.696716</v>
      </c>
      <c r="L10" s="76">
        <f t="shared" si="0"/>
        <v>1054.5692471827699</v>
      </c>
      <c r="M10" s="76">
        <f t="shared" si="1"/>
        <v>1159.8046443051971</v>
      </c>
      <c r="N10" s="76">
        <f t="shared" si="2"/>
        <v>1204.6451381483278</v>
      </c>
      <c r="O10" s="76">
        <f t="shared" si="3"/>
        <v>1248.186520180134</v>
      </c>
      <c r="P10" s="76">
        <f t="shared" si="3"/>
        <v>1102.0770855612611</v>
      </c>
      <c r="Q10" s="135"/>
      <c r="R10" s="135"/>
    </row>
    <row r="11" spans="1:18" ht="20.25" customHeight="1" x14ac:dyDescent="0.2">
      <c r="A11" s="190" t="s">
        <v>6</v>
      </c>
      <c r="B11" s="63">
        <f>'Kh Oil U'!B11+'Rb Oil  U'!B11</f>
        <v>298.89999999999998</v>
      </c>
      <c r="C11" s="63">
        <f>'Kh Oil U'!C11+'Rb Oil  U'!C11</f>
        <v>296.89999999999998</v>
      </c>
      <c r="D11" s="63">
        <f>'Kh Oil U'!D11+'Rb Oil  U'!D11</f>
        <v>266.51</v>
      </c>
      <c r="E11" s="63">
        <f>'Kh Oil U'!E11+'Rb Oil  U'!E11</f>
        <v>260.27000000000004</v>
      </c>
      <c r="F11" s="63">
        <f>'Kh Oil U'!F11+'Rb Oil  U'!F11</f>
        <v>220.98999999999998</v>
      </c>
      <c r="G11" s="63">
        <f>'Kh Oil U'!G11+'Rb Oil  U'!G11</f>
        <v>149.60000000000002</v>
      </c>
      <c r="H11" s="63">
        <f>'Kh Oil U'!H11+'Rb Oil  U'!H11</f>
        <v>169.89999999999998</v>
      </c>
      <c r="I11" s="63">
        <f>'Kh Oil U'!I11+'Rb Oil  U'!I11</f>
        <v>122.94459000000001</v>
      </c>
      <c r="J11" s="63">
        <f>'Kh Oil U'!J11+'Rb Oil  U'!J11</f>
        <v>145.90839</v>
      </c>
      <c r="K11" s="63">
        <f>'Kh Oil U'!K11+'Rb Oil  U'!K11</f>
        <v>159.03610999999998</v>
      </c>
      <c r="L11" s="76">
        <f t="shared" si="0"/>
        <v>500.50184008029453</v>
      </c>
      <c r="M11" s="76">
        <f t="shared" si="1"/>
        <v>572.24654765914454</v>
      </c>
      <c r="N11" s="76">
        <f t="shared" si="2"/>
        <v>461.3132340249897</v>
      </c>
      <c r="O11" s="76">
        <f t="shared" si="3"/>
        <v>560.60394974449605</v>
      </c>
      <c r="P11" s="76">
        <f t="shared" si="3"/>
        <v>719.65297072265707</v>
      </c>
      <c r="Q11" s="135"/>
      <c r="R11" s="135"/>
    </row>
    <row r="12" spans="1:18" ht="20.25" customHeight="1" x14ac:dyDescent="0.2">
      <c r="A12" s="190" t="s">
        <v>7</v>
      </c>
      <c r="B12" s="63">
        <f>'Kh Oil U'!B12+'Rb Oil  U'!B12</f>
        <v>1.8979999999999999</v>
      </c>
      <c r="C12" s="63">
        <f>'Kh Oil U'!C12+'Rb Oil  U'!C12</f>
        <v>1.6880000000000002</v>
      </c>
      <c r="D12" s="63">
        <f>'Kh Oil U'!D12+'Rb Oil  U'!D12</f>
        <v>1.5369999999999999</v>
      </c>
      <c r="E12" s="63">
        <f>'Kh Oil U'!E12+'Rb Oil  U'!E12</f>
        <v>0.42399999999999999</v>
      </c>
      <c r="F12" s="63">
        <f>'Kh Oil U'!F12+'Rb Oil  U'!F12</f>
        <v>0.17</v>
      </c>
      <c r="G12" s="63">
        <f>'Kh Oil U'!G12+'Rb Oil  U'!G12</f>
        <v>4.0350000000000001</v>
      </c>
      <c r="H12" s="63">
        <f>'Kh Oil U'!H12+'Rb Oil  U'!H12</f>
        <v>3.9710000000000001</v>
      </c>
      <c r="I12" s="63">
        <f>'Kh Oil U'!I12+'Rb Oil  U'!I12</f>
        <v>3.4704509999999997</v>
      </c>
      <c r="J12" s="63">
        <f>'Kh Oil U'!J12+'Rb Oil  U'!J12</f>
        <v>0.99418000000000006</v>
      </c>
      <c r="K12" s="63">
        <f>'Kh Oil U'!K12+'Rb Oil  U'!K12</f>
        <v>0.42552799999999996</v>
      </c>
      <c r="L12" s="76">
        <f t="shared" si="0"/>
        <v>2125.9220231822974</v>
      </c>
      <c r="M12" s="76">
        <f t="shared" si="1"/>
        <v>2352.4881516587675</v>
      </c>
      <c r="N12" s="76">
        <f t="shared" si="2"/>
        <v>2257.9381912817175</v>
      </c>
      <c r="O12" s="76">
        <f t="shared" si="3"/>
        <v>2344.7641509433965</v>
      </c>
      <c r="P12" s="76">
        <f t="shared" si="3"/>
        <v>2503.1058823529406</v>
      </c>
      <c r="Q12" s="135"/>
      <c r="R12" s="135"/>
    </row>
    <row r="13" spans="1:18" ht="20.25" customHeight="1" x14ac:dyDescent="0.2">
      <c r="A13" s="190" t="s">
        <v>8</v>
      </c>
      <c r="B13" s="63">
        <f>'Kh Oil U'!B13+'Rb Oil  U'!B13</f>
        <v>2568</v>
      </c>
      <c r="C13" s="63">
        <f>'Kh Oil U'!C13+'Rb Oil  U'!C13</f>
        <v>2776</v>
      </c>
      <c r="D13" s="63">
        <f>'Kh Oil U'!D13+'Rb Oil  U'!D13</f>
        <v>2758</v>
      </c>
      <c r="E13" s="63">
        <f>'Kh Oil U'!E13+'Rb Oil  U'!E13</f>
        <v>2560.4300000000003</v>
      </c>
      <c r="F13" s="63">
        <f>'Kh Oil U'!F13+'Rb Oil  U'!F13</f>
        <v>2867.6899999999996</v>
      </c>
      <c r="G13" s="63">
        <f>'Kh Oil U'!G13+'Rb Oil  U'!G13</f>
        <v>4179.0951999999997</v>
      </c>
      <c r="H13" s="63">
        <f>'Kh Oil U'!H13+'Rb Oil  U'!H13</f>
        <v>4789.32</v>
      </c>
      <c r="I13" s="63">
        <f>'Kh Oil U'!I13+'Rb Oil  U'!I13</f>
        <v>5860.21</v>
      </c>
      <c r="J13" s="63">
        <f>'Kh Oil U'!J13+'Rb Oil  U'!J13</f>
        <v>3733.6427499999991</v>
      </c>
      <c r="K13" s="63">
        <f>'Kh Oil U'!K13+'Rb Oil  U'!K13</f>
        <v>6653.34926</v>
      </c>
      <c r="L13" s="76">
        <f t="shared" si="0"/>
        <v>1627.373520249221</v>
      </c>
      <c r="M13" s="76">
        <f t="shared" si="1"/>
        <v>1725.2593659942361</v>
      </c>
      <c r="N13" s="76">
        <f t="shared" si="2"/>
        <v>2124.8042059463378</v>
      </c>
      <c r="O13" s="76">
        <f t="shared" si="3"/>
        <v>1458.2092656311629</v>
      </c>
      <c r="P13" s="76">
        <f t="shared" si="3"/>
        <v>2320.107563927761</v>
      </c>
      <c r="Q13" s="135"/>
      <c r="R13" s="135"/>
    </row>
    <row r="14" spans="1:18" ht="20.25" customHeight="1" x14ac:dyDescent="0.2">
      <c r="A14" s="190" t="s">
        <v>34</v>
      </c>
      <c r="B14" s="63">
        <f>'Kh Oil U'!B14+'Rb Oil  U'!B14</f>
        <v>522.20000000000005</v>
      </c>
      <c r="C14" s="63">
        <f>'Kh Oil U'!C14+'Rb Oil  U'!C14</f>
        <v>526.6</v>
      </c>
      <c r="D14" s="63">
        <f>'Kh Oil U'!D14+'Rb Oil  U'!D14</f>
        <v>559.20000000000005</v>
      </c>
      <c r="E14" s="63">
        <f>'Kh Oil U'!E14+'Rb Oil  U'!E14</f>
        <v>625.40000000000009</v>
      </c>
      <c r="F14" s="63">
        <f>'Kh Oil U'!F14+'Rb Oil  U'!F14</f>
        <v>659</v>
      </c>
      <c r="G14" s="63">
        <f>'Kh Oil U'!G14+'Rb Oil  U'!G14</f>
        <v>829.66399999999999</v>
      </c>
      <c r="H14" s="63">
        <f>'Kh Oil U'!H14+'Rb Oil  U'!H14</f>
        <v>964.53</v>
      </c>
      <c r="I14" s="63">
        <f>'Kh Oil U'!I14+'Rb Oil  U'!I14</f>
        <v>1122.5995</v>
      </c>
      <c r="J14" s="63">
        <f>'Kh Oil U'!J14+'Rb Oil  U'!J14</f>
        <v>1277.2506000000001</v>
      </c>
      <c r="K14" s="63">
        <f>'Kh Oil U'!K14+'Rb Oil  U'!K14</f>
        <v>1175.2338999999999</v>
      </c>
      <c r="L14" s="76">
        <f t="shared" si="0"/>
        <v>1588.7859057832247</v>
      </c>
      <c r="M14" s="76">
        <f t="shared" si="1"/>
        <v>1831.6179263197871</v>
      </c>
      <c r="N14" s="76">
        <f t="shared" si="2"/>
        <v>2007.5098354792558</v>
      </c>
      <c r="O14" s="76">
        <f t="shared" si="3"/>
        <v>2042.293891909178</v>
      </c>
      <c r="P14" s="76">
        <f t="shared" si="3"/>
        <v>1783.3594840667677</v>
      </c>
      <c r="Q14" s="135"/>
      <c r="R14" s="135"/>
    </row>
    <row r="15" spans="1:18" ht="20.25" customHeight="1" x14ac:dyDescent="0.2">
      <c r="A15" s="190" t="s">
        <v>45</v>
      </c>
      <c r="B15" s="63">
        <f>'Kh Oil U'!B15+'Rb Oil  U'!B15</f>
        <v>12.56</v>
      </c>
      <c r="C15" s="63">
        <f>'Kh Oil U'!C15+'Rb Oil  U'!C15</f>
        <v>12.678999999999998</v>
      </c>
      <c r="D15" s="63">
        <f>'Kh Oil U'!D15+'Rb Oil  U'!D15</f>
        <v>9.8460000000000019</v>
      </c>
      <c r="E15" s="63">
        <f>'Kh Oil U'!E15+'Rb Oil  U'!E15</f>
        <v>10.266999999999999</v>
      </c>
      <c r="F15" s="63">
        <f>'Kh Oil U'!F15+'Rb Oil  U'!F15</f>
        <v>10.404</v>
      </c>
      <c r="G15" s="63">
        <f>'Kh Oil U'!G15+'Rb Oil  U'!G15</f>
        <v>6.5440000000000005</v>
      </c>
      <c r="H15" s="63">
        <f>'Kh Oil U'!H15+'Rb Oil  U'!H15</f>
        <v>6.1790000000000003</v>
      </c>
      <c r="I15" s="63">
        <f>'Kh Oil U'!I15+'Rb Oil  U'!I15</f>
        <v>5.8051500000000003</v>
      </c>
      <c r="J15" s="63">
        <f>'Kh Oil U'!J15+'Rb Oil  U'!J15</f>
        <v>6.0575799999999989</v>
      </c>
      <c r="K15" s="63">
        <f>'Kh Oil U'!K15+'Rb Oil  U'!K15</f>
        <v>6.4405500000000009</v>
      </c>
      <c r="L15" s="76">
        <f t="shared" si="0"/>
        <v>521.01910828025473</v>
      </c>
      <c r="M15" s="76">
        <f t="shared" si="1"/>
        <v>487.34127297105454</v>
      </c>
      <c r="N15" s="76">
        <f t="shared" si="2"/>
        <v>589.59475929311384</v>
      </c>
      <c r="O15" s="76">
        <f t="shared" si="3"/>
        <v>590.00486997175403</v>
      </c>
      <c r="P15" s="76">
        <f t="shared" si="3"/>
        <v>619.04555940023079</v>
      </c>
      <c r="Q15" s="135"/>
      <c r="R15" s="135"/>
    </row>
    <row r="16" spans="1:18" ht="20.25" customHeight="1" x14ac:dyDescent="0.2">
      <c r="A16" s="190" t="s">
        <v>41</v>
      </c>
      <c r="B16" s="63">
        <f>'Kh Oil U'!B16+'Rb Oil  U'!B16</f>
        <v>54.417999999999999</v>
      </c>
      <c r="C16" s="63">
        <f>'Kh Oil U'!C16+'Rb Oil  U'!C16</f>
        <v>54.713999999999999</v>
      </c>
      <c r="D16" s="63">
        <f>'Kh Oil U'!D16+'Rb Oil  U'!D16</f>
        <v>51.789000000000001</v>
      </c>
      <c r="E16" s="63">
        <f>'Kh Oil U'!E16+'Rb Oil  U'!E16</f>
        <v>51.817999999999998</v>
      </c>
      <c r="F16" s="63">
        <f>'Kh Oil U'!F16+'Rb Oil  U'!F16</f>
        <v>49.261000000000003</v>
      </c>
      <c r="G16" s="63">
        <f>'Kh Oil U'!G16+'Rb Oil  U'!G16</f>
        <v>32.612392</v>
      </c>
      <c r="H16" s="63">
        <f>'Kh Oil U'!H16+'Rb Oil  U'!H16</f>
        <v>28.612000000000002</v>
      </c>
      <c r="I16" s="63">
        <f>'Kh Oil U'!I16+'Rb Oil  U'!I16</f>
        <v>39.379683000000007</v>
      </c>
      <c r="J16" s="63">
        <f>'Kh Oil U'!J16+'Rb Oil  U'!J16</f>
        <v>56.260825999999994</v>
      </c>
      <c r="K16" s="63">
        <f>'Kh Oil U'!K16+'Rb Oil  U'!K16</f>
        <v>42.299014</v>
      </c>
      <c r="L16" s="76">
        <f t="shared" si="0"/>
        <v>599.2942041236355</v>
      </c>
      <c r="M16" s="76">
        <f t="shared" si="1"/>
        <v>522.93745659246269</v>
      </c>
      <c r="N16" s="76">
        <f t="shared" si="2"/>
        <v>760.38701268609179</v>
      </c>
      <c r="O16" s="76">
        <f t="shared" si="3"/>
        <v>1085.7390482071867</v>
      </c>
      <c r="P16" s="76">
        <f t="shared" si="3"/>
        <v>858.67144394145464</v>
      </c>
      <c r="Q16" s="135"/>
      <c r="R16" s="135"/>
    </row>
    <row r="17" spans="1:18" ht="22.5" customHeight="1" x14ac:dyDescent="0.2">
      <c r="A17" s="190" t="s">
        <v>50</v>
      </c>
      <c r="B17" s="63">
        <f>'Kh Oil U'!B17+'Rb Oil  U'!B17</f>
        <v>259.14600000000002</v>
      </c>
      <c r="C17" s="63">
        <f>'Kh Oil U'!C17+'Rb Oil  U'!C17</f>
        <v>360.74099999999999</v>
      </c>
      <c r="D17" s="63">
        <f>'Kh Oil U'!D17+'Rb Oil  U'!D17</f>
        <v>416.75300000000004</v>
      </c>
      <c r="E17" s="63">
        <f>'Kh Oil U'!E17+'Rb Oil  U'!E17</f>
        <v>334.04799999999994</v>
      </c>
      <c r="F17" s="63">
        <f>'Kh Oil U'!F17+'Rb Oil  U'!F17</f>
        <v>368.13800000000003</v>
      </c>
      <c r="G17" s="63">
        <f>'Kh Oil U'!G17+'Rb Oil  U'!G17</f>
        <v>176.49190000000002</v>
      </c>
      <c r="H17" s="63">
        <f>'Kh Oil U'!H17+'Rb Oil  U'!H17</f>
        <v>264.012</v>
      </c>
      <c r="I17" s="63">
        <f>'Kh Oil U'!I17+'Rb Oil  U'!I17</f>
        <v>297.04216500000001</v>
      </c>
      <c r="J17" s="63">
        <f>'Kh Oil U'!J17+'Rb Oil  U'!J17</f>
        <v>228.44919199999998</v>
      </c>
      <c r="K17" s="63">
        <f>'Kh Oil U'!K17+'Rb Oil  U'!K17</f>
        <v>288.49625400000002</v>
      </c>
      <c r="L17" s="76">
        <f t="shared" si="0"/>
        <v>681.05199385674484</v>
      </c>
      <c r="M17" s="76">
        <f t="shared" si="1"/>
        <v>731.86025430987888</v>
      </c>
      <c r="N17" s="76">
        <f t="shared" si="2"/>
        <v>712.75351347200854</v>
      </c>
      <c r="O17" s="76">
        <f t="shared" si="3"/>
        <v>683.88133441900573</v>
      </c>
      <c r="P17" s="76">
        <f t="shared" si="3"/>
        <v>783.66333820469492</v>
      </c>
      <c r="Q17" s="135"/>
      <c r="R17" s="135"/>
    </row>
    <row r="18" spans="1:18" ht="22.5" customHeight="1" x14ac:dyDescent="0.2">
      <c r="A18" s="190" t="s">
        <v>11</v>
      </c>
      <c r="B18" s="63">
        <f>'Kh Oil U'!B18+'Rb Oil  U'!B18</f>
        <v>1286</v>
      </c>
      <c r="C18" s="63">
        <f>'Kh Oil U'!C18+'Rb Oil  U'!C18</f>
        <v>1293</v>
      </c>
      <c r="D18" s="63">
        <f>'Kh Oil U'!D18+'Rb Oil  U'!D18</f>
        <v>1099</v>
      </c>
      <c r="E18" s="63">
        <f>'Kh Oil U'!E18+'Rb Oil  U'!E18</f>
        <v>949.20999999999992</v>
      </c>
      <c r="F18" s="63">
        <f>'Kh Oil U'!F18+'Rb Oil  U'!F18</f>
        <v>1014</v>
      </c>
      <c r="G18" s="63">
        <f>'Kh Oil U'!G18+'Rb Oil  U'!G18</f>
        <v>749.67975000000001</v>
      </c>
      <c r="H18" s="63">
        <f>'Kh Oil U'!H18+'Rb Oil  U'!H18</f>
        <v>805.8</v>
      </c>
      <c r="I18" s="63">
        <f>'Kh Oil U'!I18+'Rb Oil  U'!I18</f>
        <v>970.71220000000005</v>
      </c>
      <c r="J18" s="63">
        <f>'Kh Oil U'!J18+'Rb Oil  U'!J18</f>
        <v>782.60139000000004</v>
      </c>
      <c r="K18" s="63">
        <f>'Kh Oil U'!K18+'Rb Oil  U'!K18</f>
        <v>1039.7380000000001</v>
      </c>
      <c r="L18" s="76">
        <f t="shared" si="0"/>
        <v>582.95470451010885</v>
      </c>
      <c r="M18" s="76">
        <f t="shared" si="1"/>
        <v>623.20185614849186</v>
      </c>
      <c r="N18" s="76">
        <f t="shared" si="2"/>
        <v>883.26860782529582</v>
      </c>
      <c r="O18" s="76">
        <f t="shared" si="3"/>
        <v>824.47655418716624</v>
      </c>
      <c r="P18" s="76">
        <f t="shared" si="3"/>
        <v>1025.3826429980277</v>
      </c>
      <c r="Q18" s="135"/>
      <c r="R18" s="135"/>
    </row>
    <row r="19" spans="1:18" ht="22.5" customHeight="1" x14ac:dyDescent="0.2">
      <c r="A19" s="190" t="s">
        <v>12</v>
      </c>
      <c r="B19" s="63">
        <f>'Kh Oil U'!B19+'Rb Oil  U'!B19</f>
        <v>0.63600000000000001</v>
      </c>
      <c r="C19" s="63">
        <f>'Kh Oil U'!C19+'Rb Oil  U'!C19</f>
        <v>4.5369999999999999</v>
      </c>
      <c r="D19" s="63">
        <f>'Kh Oil U'!D19+'Rb Oil  U'!D19</f>
        <v>0.5131</v>
      </c>
      <c r="E19" s="63">
        <f>'Kh Oil U'!E19+'Rb Oil  U'!E19</f>
        <v>0.5696</v>
      </c>
      <c r="F19" s="63">
        <f>'Kh Oil U'!F19+'Rb Oil  U'!F19</f>
        <v>0.32500000000000001</v>
      </c>
      <c r="G19" s="63">
        <f>'Kh Oil U'!G19+'Rb Oil  U'!G19</f>
        <v>0.66700000000000004</v>
      </c>
      <c r="H19" s="63">
        <f>'Kh Oil U'!H19+'Rb Oil  U'!H19</f>
        <v>0.56499999999999995</v>
      </c>
      <c r="I19" s="63">
        <f>'Kh Oil U'!I19+'Rb Oil  U'!I19</f>
        <v>0.46181540000000004</v>
      </c>
      <c r="J19" s="63">
        <f>'Kh Oil U'!J19+'Rb Oil  U'!J19</f>
        <v>0.39728639999999998</v>
      </c>
      <c r="K19" s="63">
        <f>'Kh Oil U'!K19+'Rb Oil  U'!K19</f>
        <v>0.23830800000000002</v>
      </c>
      <c r="L19" s="76">
        <f t="shared" si="0"/>
        <v>1048.74213836478</v>
      </c>
      <c r="M19" s="76">
        <f t="shared" si="1"/>
        <v>124.53162882962309</v>
      </c>
      <c r="N19" s="76">
        <f t="shared" si="2"/>
        <v>900.04950302085376</v>
      </c>
      <c r="O19" s="76">
        <f t="shared" si="3"/>
        <v>697.48314606741565</v>
      </c>
      <c r="P19" s="76">
        <f t="shared" si="3"/>
        <v>733.25538461538463</v>
      </c>
      <c r="Q19" s="135"/>
      <c r="R19" s="135"/>
    </row>
    <row r="20" spans="1:18" ht="22.5" customHeight="1" x14ac:dyDescent="0.2">
      <c r="A20" s="190" t="s">
        <v>13</v>
      </c>
      <c r="B20" s="63">
        <f>'Kh Oil U'!B20+'Rb Oil  U'!B20</f>
        <v>7336</v>
      </c>
      <c r="C20" s="63">
        <f>'Kh Oil U'!C20+'Rb Oil  U'!C20</f>
        <v>6986</v>
      </c>
      <c r="D20" s="63">
        <f>'Kh Oil U'!D20+'Rb Oil  U'!D20</f>
        <v>6642</v>
      </c>
      <c r="E20" s="63">
        <f>'Kh Oil U'!E20+'Rb Oil  U'!E20</f>
        <v>6654</v>
      </c>
      <c r="F20" s="63">
        <f>'Kh Oil U'!F20+'Rb Oil  U'!F20</f>
        <v>7470</v>
      </c>
      <c r="G20" s="63">
        <f>'Kh Oil U'!G20+'Rb Oil  U'!G20</f>
        <v>6171.0224000000007</v>
      </c>
      <c r="H20" s="63">
        <f>'Kh Oil U'!H20+'Rb Oil  U'!H20</f>
        <v>8224</v>
      </c>
      <c r="I20" s="63">
        <f>'Kh Oil U'!I20+'Rb Oil  U'!I20</f>
        <v>6949</v>
      </c>
      <c r="J20" s="63">
        <f>'Kh Oil U'!J20+'Rb Oil  U'!J20</f>
        <v>8294.2939999999999</v>
      </c>
      <c r="K20" s="63">
        <f>'Kh Oil U'!K20+'Rb Oil  U'!K20</f>
        <v>6451.6869999999999</v>
      </c>
      <c r="L20" s="76">
        <f t="shared" si="0"/>
        <v>841.19716466739385</v>
      </c>
      <c r="M20" s="76">
        <f t="shared" si="1"/>
        <v>1177.211565989121</v>
      </c>
      <c r="N20" s="76">
        <f t="shared" si="2"/>
        <v>1046.2210177657332</v>
      </c>
      <c r="O20" s="76">
        <f t="shared" si="3"/>
        <v>1246.5124737000299</v>
      </c>
      <c r="P20" s="76">
        <f t="shared" si="3"/>
        <v>863.67965194109775</v>
      </c>
      <c r="Q20" s="135"/>
      <c r="R20" s="135"/>
    </row>
    <row r="21" spans="1:18" ht="22.5" customHeight="1" x14ac:dyDescent="0.2">
      <c r="A21" s="190" t="s">
        <v>14</v>
      </c>
      <c r="B21" s="63">
        <f>'Kh Oil U'!B21+'Rb Oil  U'!B21</f>
        <v>4204</v>
      </c>
      <c r="C21" s="63">
        <f>'Kh Oil U'!C21+'Rb Oil  U'!C21</f>
        <v>4408.8</v>
      </c>
      <c r="D21" s="63">
        <f>'Kh Oil U'!D21+'Rb Oil  U'!D21</f>
        <v>4134.1000000000004</v>
      </c>
      <c r="E21" s="63">
        <f>'Kh Oil U'!E21+'Rb Oil  U'!E21</f>
        <v>4457.49</v>
      </c>
      <c r="F21" s="63">
        <f>'Kh Oil U'!F21+'Rb Oil  U'!F21</f>
        <v>4526.22</v>
      </c>
      <c r="G21" s="63">
        <f>'Kh Oil U'!G21+'Rb Oil  U'!G21</f>
        <v>2436.0884999999998</v>
      </c>
      <c r="H21" s="63">
        <f>'Kh Oil U'!H21+'Rb Oil  U'!H21</f>
        <v>5113.5</v>
      </c>
      <c r="I21" s="63">
        <f>'Kh Oil U'!I21+'Rb Oil  U'!I21</f>
        <v>4206.3969999999999</v>
      </c>
      <c r="J21" s="63">
        <f>'Kh Oil U'!J21+'Rb Oil  U'!J21</f>
        <v>4885.0211929999996</v>
      </c>
      <c r="K21" s="63">
        <f>'Kh Oil U'!K21+'Rb Oil  U'!K21</f>
        <v>5177.0214000000005</v>
      </c>
      <c r="L21" s="76">
        <f t="shared" si="0"/>
        <v>579.46919600380591</v>
      </c>
      <c r="M21" s="76">
        <f t="shared" si="1"/>
        <v>1159.8394120849209</v>
      </c>
      <c r="N21" s="76">
        <f t="shared" si="2"/>
        <v>1017.487965941801</v>
      </c>
      <c r="O21" s="76">
        <f t="shared" si="3"/>
        <v>1095.9129898216261</v>
      </c>
      <c r="P21" s="76">
        <f t="shared" si="3"/>
        <v>1143.7847475376805</v>
      </c>
      <c r="Q21" s="135"/>
      <c r="R21" s="135"/>
    </row>
    <row r="22" spans="1:18" ht="22.5" customHeight="1" x14ac:dyDescent="0.2">
      <c r="A22" s="190" t="s">
        <v>36</v>
      </c>
      <c r="B22" s="63">
        <f>'Kh Oil U'!B22+'Rb Oil  U'!B22</f>
        <v>37.49</v>
      </c>
      <c r="C22" s="63">
        <f>'Kh Oil U'!C22+'Rb Oil  U'!C22</f>
        <v>37.619999999999997</v>
      </c>
      <c r="D22" s="63">
        <f>'Kh Oil U'!D22+'Rb Oil  U'!D22</f>
        <v>37.67</v>
      </c>
      <c r="E22" s="63">
        <f>'Kh Oil U'!E22+'Rb Oil  U'!E22</f>
        <v>37.65</v>
      </c>
      <c r="F22" s="63">
        <f>'Kh Oil U'!F22+'Rb Oil  U'!F22</f>
        <v>32.43</v>
      </c>
      <c r="G22" s="63">
        <f>'Kh Oil U'!G22+'Rb Oil  U'!G22</f>
        <v>31.77</v>
      </c>
      <c r="H22" s="63">
        <f>'Kh Oil U'!H22+'Rb Oil  U'!H22</f>
        <v>32.28</v>
      </c>
      <c r="I22" s="63">
        <f>'Kh Oil U'!I22+'Rb Oil  U'!I22</f>
        <v>32.787990000000001</v>
      </c>
      <c r="J22" s="63">
        <f>'Kh Oil U'!J22+'Rb Oil  U'!J22</f>
        <v>32.208120000000001</v>
      </c>
      <c r="K22" s="63">
        <f>'Kh Oil U'!K22+'Rb Oil  U'!K22</f>
        <v>27.44218</v>
      </c>
      <c r="L22" s="76">
        <f t="shared" si="0"/>
        <v>847.42598026140308</v>
      </c>
      <c r="M22" s="76">
        <f t="shared" si="1"/>
        <v>858.05422647527917</v>
      </c>
      <c r="N22" s="76">
        <f t="shared" si="2"/>
        <v>870.40058401911335</v>
      </c>
      <c r="O22" s="76">
        <f t="shared" si="3"/>
        <v>855.46135458167339</v>
      </c>
      <c r="P22" s="76">
        <f t="shared" si="3"/>
        <v>846.19734813444347</v>
      </c>
      <c r="Q22" s="135"/>
      <c r="R22" s="135"/>
    </row>
    <row r="23" spans="1:18" ht="22.5" customHeight="1" x14ac:dyDescent="0.2">
      <c r="A23" s="190" t="s">
        <v>37</v>
      </c>
      <c r="B23" s="63">
        <f>'Kh Oil U'!B23+'Rb Oil  U'!B23</f>
        <v>13.917999999999999</v>
      </c>
      <c r="C23" s="63">
        <f>'Kh Oil U'!C23+'Rb Oil  U'!C23</f>
        <v>14.219999999999999</v>
      </c>
      <c r="D23" s="63">
        <f>'Kh Oil U'!D23+'Rb Oil  U'!D23</f>
        <v>14.263999999999999</v>
      </c>
      <c r="E23" s="63">
        <f>'Kh Oil U'!E23+'Rb Oil  U'!E23</f>
        <v>14.291999999999998</v>
      </c>
      <c r="F23" s="63">
        <f>'Kh Oil U'!F23+'Rb Oil  U'!F23</f>
        <v>14.28</v>
      </c>
      <c r="G23" s="63">
        <f>'Kh Oil U'!G23+'Rb Oil  U'!G23</f>
        <v>15.186</v>
      </c>
      <c r="H23" s="63">
        <f>'Kh Oil U'!H23+'Rb Oil  U'!H23</f>
        <v>14.946999999999999</v>
      </c>
      <c r="I23" s="63">
        <f>'Kh Oil U'!I23+'Rb Oil  U'!I23</f>
        <v>15.07897</v>
      </c>
      <c r="J23" s="63">
        <f>'Kh Oil U'!J23+'Rb Oil  U'!J23</f>
        <v>15.136591000000001</v>
      </c>
      <c r="K23" s="63">
        <f>'Kh Oil U'!K23+'Rb Oil  U'!K23</f>
        <v>15.14029</v>
      </c>
      <c r="L23" s="76">
        <f t="shared" si="0"/>
        <v>1091.1050438281363</v>
      </c>
      <c r="M23" s="76">
        <f t="shared" si="1"/>
        <v>1051.1251758087201</v>
      </c>
      <c r="N23" s="76">
        <f t="shared" si="2"/>
        <v>1057.1347448121144</v>
      </c>
      <c r="O23" s="76">
        <f t="shared" si="3"/>
        <v>1059.0953680380635</v>
      </c>
      <c r="P23" s="76">
        <f t="shared" si="3"/>
        <v>1060.2443977591035</v>
      </c>
      <c r="Q23" s="135"/>
      <c r="R23" s="135"/>
    </row>
    <row r="24" spans="1:18" ht="22.5" customHeight="1" x14ac:dyDescent="0.2">
      <c r="A24" s="190" t="s">
        <v>38</v>
      </c>
      <c r="B24" s="63">
        <f>'Kh Oil U'!B24+'Rb Oil  U'!B24</f>
        <v>2.6589999999999998</v>
      </c>
      <c r="C24" s="63">
        <f>'Kh Oil U'!C24+'Rb Oil  U'!C24</f>
        <v>2.1949999999999998</v>
      </c>
      <c r="D24" s="63">
        <f>'Kh Oil U'!D24+'Rb Oil  U'!D24</f>
        <v>2.1905999999999999</v>
      </c>
      <c r="E24" s="63">
        <f>'Kh Oil U'!E24+'Rb Oil  U'!E24</f>
        <v>2.3109999999999999</v>
      </c>
      <c r="F24" s="63">
        <f>'Kh Oil U'!F24+'Rb Oil  U'!F24</f>
        <v>2.4510000000000001</v>
      </c>
      <c r="G24" s="63">
        <f>'Kh Oil U'!G24+'Rb Oil  U'!G24</f>
        <v>2.9569999999999999</v>
      </c>
      <c r="H24" s="63">
        <f>'Kh Oil U'!H24+'Rb Oil  U'!H24</f>
        <v>2.5030000000000001</v>
      </c>
      <c r="I24" s="63">
        <f>'Kh Oil U'!I24+'Rb Oil  U'!I24</f>
        <v>2.4384999999999999</v>
      </c>
      <c r="J24" s="63">
        <f>'Kh Oil U'!J24+'Rb Oil  U'!J24</f>
        <v>2.7570000000000001</v>
      </c>
      <c r="K24" s="63">
        <f>'Kh Oil U'!K24+'Rb Oil  U'!K24</f>
        <v>2.7520000000000002</v>
      </c>
      <c r="L24" s="76">
        <f t="shared" si="0"/>
        <v>1112.0722075968411</v>
      </c>
      <c r="M24" s="76">
        <f t="shared" si="1"/>
        <v>1140.3189066059226</v>
      </c>
      <c r="N24" s="76">
        <f t="shared" si="2"/>
        <v>1113.165342828449</v>
      </c>
      <c r="O24" s="76">
        <f t="shared" si="3"/>
        <v>1192.9900475984423</v>
      </c>
      <c r="P24" s="76">
        <f t="shared" si="3"/>
        <v>1122.8070175438597</v>
      </c>
      <c r="Q24" s="135"/>
      <c r="R24" s="135"/>
    </row>
    <row r="25" spans="1:18" ht="22.5" customHeight="1" x14ac:dyDescent="0.2">
      <c r="A25" s="190" t="s">
        <v>15</v>
      </c>
      <c r="B25" s="63">
        <f>'Kh Oil U'!B25+'Rb Oil  U'!B25</f>
        <v>65.5</v>
      </c>
      <c r="C25" s="63">
        <f>'Kh Oil U'!C25+'Rb Oil  U'!C25</f>
        <v>65.650000000000006</v>
      </c>
      <c r="D25" s="63">
        <f>'Kh Oil U'!D25+'Rb Oil  U'!D25</f>
        <v>65.930000000000007</v>
      </c>
      <c r="E25" s="63">
        <f>'Kh Oil U'!E25+'Rb Oil  U'!E25</f>
        <v>66.180000000000007</v>
      </c>
      <c r="F25" s="63">
        <f>'Kh Oil U'!F25+'Rb Oil  U'!F25</f>
        <v>67.400000000000006</v>
      </c>
      <c r="G25" s="63">
        <f>'Kh Oil U'!G25+'Rb Oil  U'!G25</f>
        <v>68.599999999999994</v>
      </c>
      <c r="H25" s="63">
        <f>'Kh Oil U'!H25+'Rb Oil  U'!H25</f>
        <v>68.930000000000007</v>
      </c>
      <c r="I25" s="63">
        <f>'Kh Oil U'!I25+'Rb Oil  U'!I25</f>
        <v>69.231059999999999</v>
      </c>
      <c r="J25" s="63">
        <f>'Kh Oil U'!J25+'Rb Oil  U'!J25</f>
        <v>69.491240000000005</v>
      </c>
      <c r="K25" s="63">
        <f>'Kh Oil U'!K25+'Rb Oil  U'!K25</f>
        <v>70.802340000000001</v>
      </c>
      <c r="L25" s="76">
        <f t="shared" si="0"/>
        <v>1047.3282442748091</v>
      </c>
      <c r="M25" s="76">
        <f t="shared" si="1"/>
        <v>1049.9619192688501</v>
      </c>
      <c r="N25" s="76">
        <f t="shared" si="2"/>
        <v>1050.0691642651295</v>
      </c>
      <c r="O25" s="76">
        <f t="shared" si="3"/>
        <v>1050.033847083711</v>
      </c>
      <c r="P25" s="76">
        <f t="shared" si="3"/>
        <v>1050.4798219584568</v>
      </c>
      <c r="Q25" s="135"/>
      <c r="R25" s="135"/>
    </row>
    <row r="26" spans="1:18" ht="22.5" customHeight="1" x14ac:dyDescent="0.2">
      <c r="A26" s="190" t="s">
        <v>101</v>
      </c>
      <c r="B26" s="63">
        <f>'Kh Oil U'!B26+'Rb Oil  U'!B26</f>
        <v>190.05</v>
      </c>
      <c r="C26" s="63">
        <f>'Kh Oil U'!C26+'Rb Oil  U'!C26</f>
        <v>177.89000000000001</v>
      </c>
      <c r="D26" s="63">
        <f>'Kh Oil U'!D26+'Rb Oil  U'!D26</f>
        <v>148.85</v>
      </c>
      <c r="E26" s="63">
        <f>'Kh Oil U'!E26+'Rb Oil  U'!E26</f>
        <v>137.49</v>
      </c>
      <c r="F26" s="63">
        <f>'Kh Oil U'!F26+'Rb Oil  U'!F26</f>
        <v>137.23999999999998</v>
      </c>
      <c r="G26" s="63">
        <f>'Kh Oil U'!G26+'Rb Oil  U'!G26</f>
        <v>120.11389999999999</v>
      </c>
      <c r="H26" s="63">
        <f>'Kh Oil U'!H26+'Rb Oil  U'!H26</f>
        <v>121.21000000000001</v>
      </c>
      <c r="I26" s="63">
        <f>'Kh Oil U'!I26+'Rb Oil  U'!I26</f>
        <v>93.086560000000006</v>
      </c>
      <c r="J26" s="63">
        <f>'Kh Oil U'!J26+'Rb Oil  U'!J26</f>
        <v>91.075600000000009</v>
      </c>
      <c r="K26" s="63">
        <f>'Kh Oil U'!K26+'Rb Oil  U'!K26</f>
        <v>99.506529999999998</v>
      </c>
      <c r="L26" s="76">
        <f t="shared" si="0"/>
        <v>632.01210207840029</v>
      </c>
      <c r="M26" s="76">
        <f t="shared" si="1"/>
        <v>681.37613131710611</v>
      </c>
      <c r="N26" s="76">
        <f t="shared" si="2"/>
        <v>625.37158212966085</v>
      </c>
      <c r="O26" s="76">
        <f t="shared" si="3"/>
        <v>662.41617572187067</v>
      </c>
      <c r="P26" s="76">
        <f t="shared" si="3"/>
        <v>725.05486738560194</v>
      </c>
      <c r="Q26" s="135"/>
      <c r="R26" s="135"/>
    </row>
    <row r="27" spans="1:18" ht="22.5" customHeight="1" x14ac:dyDescent="0.2">
      <c r="A27" s="190" t="s">
        <v>17</v>
      </c>
      <c r="B27" s="63">
        <f>'Kh Oil U'!B27+'Rb Oil  U'!B27</f>
        <v>43.1</v>
      </c>
      <c r="C27" s="63">
        <f>'Kh Oil U'!C27+'Rb Oil  U'!C27</f>
        <v>41.7</v>
      </c>
      <c r="D27" s="63">
        <f>'Kh Oil U'!D27+'Rb Oil  U'!D27</f>
        <v>40.1</v>
      </c>
      <c r="E27" s="63">
        <f>'Kh Oil U'!E27+'Rb Oil  U'!E27</f>
        <v>39.700000000000003</v>
      </c>
      <c r="F27" s="63">
        <f>'Kh Oil U'!F27+'Rb Oil  U'!F27</f>
        <v>39.699999999999996</v>
      </c>
      <c r="G27" s="63">
        <f>'Kh Oil U'!G27+'Rb Oil  U'!G27</f>
        <v>56.8</v>
      </c>
      <c r="H27" s="63">
        <f>'Kh Oil U'!H27+'Rb Oil  U'!H27</f>
        <v>57.8</v>
      </c>
      <c r="I27" s="63">
        <f>'Kh Oil U'!I27+'Rb Oil  U'!I27</f>
        <v>59.445799999999998</v>
      </c>
      <c r="J27" s="63">
        <f>'Kh Oil U'!J27+'Rb Oil  U'!J27</f>
        <v>59.512699999999995</v>
      </c>
      <c r="K27" s="63">
        <f>'Kh Oil U'!K27+'Rb Oil  U'!K27</f>
        <v>58.4435</v>
      </c>
      <c r="L27" s="76">
        <f t="shared" si="0"/>
        <v>1317.8654292343385</v>
      </c>
      <c r="M27" s="76">
        <f t="shared" si="1"/>
        <v>1386.0911270983211</v>
      </c>
      <c r="N27" s="76">
        <f t="shared" si="2"/>
        <v>1482.4389027431421</v>
      </c>
      <c r="O27" s="76">
        <f t="shared" si="3"/>
        <v>1499.0604534005035</v>
      </c>
      <c r="P27" s="76">
        <f t="shared" si="3"/>
        <v>1472.1284634760707</v>
      </c>
      <c r="Q27" s="135"/>
      <c r="R27" s="135"/>
    </row>
    <row r="28" spans="1:18" ht="22.5" customHeight="1" x14ac:dyDescent="0.2">
      <c r="A28" s="190" t="s">
        <v>18</v>
      </c>
      <c r="B28" s="63">
        <f>'Kh Oil U'!B28+'Rb Oil  U'!B28</f>
        <v>4813.9609999999993</v>
      </c>
      <c r="C28" s="63">
        <f>'Kh Oil U'!C28+'Rb Oil  U'!C28</f>
        <v>4619.6399999999994</v>
      </c>
      <c r="D28" s="63">
        <f>'Kh Oil U'!D28+'Rb Oil  U'!D28</f>
        <v>4136.8500000000004</v>
      </c>
      <c r="E28" s="63">
        <f>'Kh Oil U'!E28+'Rb Oil  U'!E28</f>
        <v>4363.4139999999998</v>
      </c>
      <c r="F28" s="63">
        <f>'Kh Oil U'!F28+'Rb Oil  U'!F28</f>
        <v>5422.7179999999989</v>
      </c>
      <c r="G28" s="63">
        <f>'Kh Oil U'!G28+'Rb Oil  U'!G28</f>
        <v>5692.4978169999995</v>
      </c>
      <c r="H28" s="63">
        <f>'Kh Oil U'!H28+'Rb Oil  U'!H28</f>
        <v>6240.2142000000003</v>
      </c>
      <c r="I28" s="63">
        <f>'Kh Oil U'!I28+'Rb Oil  U'!I28</f>
        <v>6111.2895480000007</v>
      </c>
      <c r="J28" s="63">
        <f>'Kh Oil U'!J28+'Rb Oil  U'!J28</f>
        <v>6899.0706947587914</v>
      </c>
      <c r="K28" s="63">
        <f>'Kh Oil U'!K28+'Rb Oil  U'!K28</f>
        <v>6769.1825473651097</v>
      </c>
      <c r="L28" s="76">
        <f t="shared" si="0"/>
        <v>1182.4977013731518</v>
      </c>
      <c r="M28" s="76">
        <f t="shared" si="1"/>
        <v>1350.8009715042733</v>
      </c>
      <c r="N28" s="76">
        <f t="shared" si="2"/>
        <v>1477.2809137387142</v>
      </c>
      <c r="O28" s="76">
        <f t="shared" si="3"/>
        <v>1581.1176053335282</v>
      </c>
      <c r="P28" s="76">
        <f t="shared" si="3"/>
        <v>1248.3006764071285</v>
      </c>
      <c r="Q28" s="135"/>
      <c r="R28" s="135"/>
    </row>
    <row r="29" spans="1:18" ht="22.5" customHeight="1" x14ac:dyDescent="0.2">
      <c r="A29" s="190" t="s">
        <v>51</v>
      </c>
      <c r="B29" s="63">
        <f>'Kh Oil U'!B29+'Rb Oil  U'!B29</f>
        <v>6.9399999999999995</v>
      </c>
      <c r="C29" s="63">
        <f>'Kh Oil U'!C29+'Rb Oil  U'!C29</f>
        <v>6.9499999999999993</v>
      </c>
      <c r="D29" s="63">
        <f>'Kh Oil U'!D29+'Rb Oil  U'!D29</f>
        <v>6.282</v>
      </c>
      <c r="E29" s="63">
        <f>'Kh Oil U'!E29+'Rb Oil  U'!E29</f>
        <v>6.0670000000000002</v>
      </c>
      <c r="F29" s="63">
        <f>'Kh Oil U'!F29+'Rb Oil  U'!F29</f>
        <v>6.0619999999999994</v>
      </c>
      <c r="G29" s="63">
        <f>'Kh Oil U'!G29+'Rb Oil  U'!G29</f>
        <v>6.3100000000000005</v>
      </c>
      <c r="H29" s="63">
        <f>'Kh Oil U'!H29+'Rb Oil  U'!H29</f>
        <v>6.3780000000000001</v>
      </c>
      <c r="I29" s="63">
        <f>'Kh Oil U'!I29+'Rb Oil  U'!I29</f>
        <v>5.8038500000000006</v>
      </c>
      <c r="J29" s="63">
        <f>'Kh Oil U'!J29+'Rb Oil  U'!J29</f>
        <v>5.6108919999999998</v>
      </c>
      <c r="K29" s="63">
        <f>'Kh Oil U'!K29+'Rb Oil  U'!K29</f>
        <v>5.6099999999999994</v>
      </c>
      <c r="L29" s="76">
        <f t="shared" si="0"/>
        <v>909.2219020172912</v>
      </c>
      <c r="M29" s="76">
        <f t="shared" si="1"/>
        <v>917.69784172661889</v>
      </c>
      <c r="N29" s="76">
        <f t="shared" si="2"/>
        <v>923.88570518943027</v>
      </c>
      <c r="O29" s="76">
        <f t="shared" si="3"/>
        <v>924.82149332454253</v>
      </c>
      <c r="P29" s="76">
        <f t="shared" si="3"/>
        <v>925.43714945562522</v>
      </c>
      <c r="Q29" s="135"/>
      <c r="R29" s="135"/>
    </row>
    <row r="30" spans="1:18" ht="22.5" customHeight="1" x14ac:dyDescent="0.2">
      <c r="A30" s="190" t="s">
        <v>19</v>
      </c>
      <c r="B30" s="63">
        <f>'Kh Oil U'!B30+'Rb Oil  U'!B30</f>
        <v>407.04999999999995</v>
      </c>
      <c r="C30" s="63">
        <f>'Kh Oil U'!C30+'Rb Oil  U'!C30</f>
        <v>323.08</v>
      </c>
      <c r="D30" s="63">
        <f>'Kh Oil U'!D30+'Rb Oil  U'!D30</f>
        <v>380.35</v>
      </c>
      <c r="E30" s="63">
        <f>'Kh Oil U'!E30+'Rb Oil  U'!E30</f>
        <v>390.21</v>
      </c>
      <c r="F30" s="63">
        <f>'Kh Oil U'!F30+'Rb Oil  U'!F30</f>
        <v>409.31000000000006</v>
      </c>
      <c r="G30" s="63">
        <f>'Kh Oil U'!G30+'Rb Oil  U'!G30</f>
        <v>932.22999999999979</v>
      </c>
      <c r="H30" s="63">
        <f>'Kh Oil U'!H30+'Rb Oil  U'!H30</f>
        <v>604.12000000000012</v>
      </c>
      <c r="I30" s="63">
        <f>'Kh Oil U'!I30+'Rb Oil  U'!I30</f>
        <v>1038.0246200000001</v>
      </c>
      <c r="J30" s="63">
        <f>'Kh Oil U'!J30+'Rb Oil  U'!J30</f>
        <v>940.8514899999999</v>
      </c>
      <c r="K30" s="63">
        <f>'Kh Oil U'!K30+'Rb Oil  U'!K30</f>
        <v>1074.9728299999999</v>
      </c>
      <c r="L30" s="76">
        <f t="shared" si="0"/>
        <v>2290.2100479056626</v>
      </c>
      <c r="M30" s="76">
        <f t="shared" si="1"/>
        <v>1869.8774297387647</v>
      </c>
      <c r="N30" s="76">
        <f t="shared" si="2"/>
        <v>2729.1300644143553</v>
      </c>
      <c r="O30" s="76">
        <f t="shared" si="3"/>
        <v>2411.1414110350834</v>
      </c>
      <c r="P30" s="76">
        <f t="shared" si="3"/>
        <v>2626.3048300798901</v>
      </c>
      <c r="Q30" s="135"/>
      <c r="R30" s="135"/>
    </row>
    <row r="31" spans="1:18" ht="22.5" customHeight="1" x14ac:dyDescent="0.2">
      <c r="A31" s="190" t="s">
        <v>103</v>
      </c>
      <c r="B31" s="63">
        <f>'Kh Oil U'!B31+'Rb Oil  U'!B31</f>
        <v>450</v>
      </c>
      <c r="C31" s="63">
        <f>'Kh Oil U'!C31+'Rb Oil  U'!C31</f>
        <v>522</v>
      </c>
      <c r="D31" s="63">
        <f>'Kh Oil U'!D31+'Rb Oil  U'!D31</f>
        <v>374</v>
      </c>
      <c r="E31" s="63">
        <f>'Kh Oil U'!E31+'Rb Oil  U'!E31</f>
        <v>321</v>
      </c>
      <c r="F31" s="63">
        <f>'Kh Oil U'!F31+'Rb Oil  U'!F31</f>
        <v>339</v>
      </c>
      <c r="G31" s="63">
        <f>'Kh Oil U'!G31+'Rb Oil  U'!G31</f>
        <v>496</v>
      </c>
      <c r="H31" s="63">
        <f>'Kh Oil U'!H31+'Rb Oil  U'!H31</f>
        <v>723</v>
      </c>
      <c r="I31" s="63">
        <f>'Kh Oil U'!I31+'Rb Oil  U'!I31</f>
        <v>669.81399999999996</v>
      </c>
      <c r="J31" s="63">
        <f>'Kh Oil U'!J31+'Rb Oil  U'!J31</f>
        <v>589.16200000000003</v>
      </c>
      <c r="K31" s="63">
        <f>'Kh Oil U'!K31+'Rb Oil  U'!K31</f>
        <v>639.22</v>
      </c>
      <c r="L31" s="76">
        <f t="shared" si="0"/>
        <v>1102.2222222222222</v>
      </c>
      <c r="M31" s="76">
        <f t="shared" si="1"/>
        <v>1385.0574712643677</v>
      </c>
      <c r="N31" s="76">
        <f t="shared" si="2"/>
        <v>1790.9465240641712</v>
      </c>
      <c r="O31" s="76">
        <f t="shared" si="3"/>
        <v>1835.3956386292837</v>
      </c>
      <c r="P31" s="76">
        <f t="shared" si="3"/>
        <v>1885.6047197640119</v>
      </c>
      <c r="Q31" s="135"/>
      <c r="R31" s="135"/>
    </row>
    <row r="32" spans="1:18" ht="22.5" customHeight="1" x14ac:dyDescent="0.2">
      <c r="A32" s="190" t="s">
        <v>52</v>
      </c>
      <c r="B32" s="63">
        <f>'Kh Oil U'!B32+'Rb Oil  U'!B32</f>
        <v>11.691000000000001</v>
      </c>
      <c r="C32" s="63">
        <f>'Kh Oil U'!C32+'Rb Oil  U'!C32</f>
        <v>15.373000000000001</v>
      </c>
      <c r="D32" s="63">
        <f>'Kh Oil U'!D32+'Rb Oil  U'!D32</f>
        <v>17.716000000000001</v>
      </c>
      <c r="E32" s="63">
        <f>'Kh Oil U'!E32+'Rb Oil  U'!E32</f>
        <v>17.101000000000003</v>
      </c>
      <c r="F32" s="63">
        <f>'Kh Oil U'!F32+'Rb Oil  U'!F32</f>
        <v>17.168999999999997</v>
      </c>
      <c r="G32" s="63">
        <f>'Kh Oil U'!G32+'Rb Oil  U'!G32</f>
        <v>9.0139999999999993</v>
      </c>
      <c r="H32" s="63">
        <f>'Kh Oil U'!H32+'Rb Oil  U'!H32</f>
        <v>12.508000000000001</v>
      </c>
      <c r="I32" s="63">
        <f>'Kh Oil U'!I32+'Rb Oil  U'!I32</f>
        <v>13.824491999999999</v>
      </c>
      <c r="J32" s="63">
        <f>'Kh Oil U'!J32+'Rb Oil  U'!J32</f>
        <v>13.972629</v>
      </c>
      <c r="K32" s="63">
        <f>'Kh Oil U'!K32+'Rb Oil  U'!K32</f>
        <v>14.39</v>
      </c>
      <c r="L32" s="160">
        <f t="shared" si="0"/>
        <v>771.02044307587028</v>
      </c>
      <c r="M32" s="160">
        <f t="shared" si="1"/>
        <v>813.63429389188832</v>
      </c>
      <c r="N32" s="160">
        <f t="shared" si="2"/>
        <v>780.33935425603966</v>
      </c>
      <c r="O32" s="160">
        <f t="shared" si="3"/>
        <v>817.06502543710883</v>
      </c>
      <c r="P32" s="160">
        <f t="shared" si="3"/>
        <v>838.13850544586194</v>
      </c>
      <c r="Q32" s="135"/>
      <c r="R32" s="135"/>
    </row>
    <row r="33" spans="1:18" ht="22.5" customHeight="1" x14ac:dyDescent="0.2">
      <c r="A33" s="190" t="s">
        <v>22</v>
      </c>
      <c r="B33" s="63">
        <f>'Kh Oil U'!B33+'Rb Oil  U'!B33</f>
        <v>1291</v>
      </c>
      <c r="C33" s="63">
        <f>'Kh Oil U'!C33+'Rb Oil  U'!C33</f>
        <v>1199.2</v>
      </c>
      <c r="D33" s="63">
        <f>'Kh Oil U'!D33+'Rb Oil  U'!D33</f>
        <v>1087</v>
      </c>
      <c r="E33" s="63">
        <f>'Kh Oil U'!E33+'Rb Oil  U'!E33</f>
        <v>1233</v>
      </c>
      <c r="F33" s="63">
        <f>'Kh Oil U'!F33+'Rb Oil  U'!F33</f>
        <v>1262.3</v>
      </c>
      <c r="G33" s="63">
        <f>'Kh Oil U'!G33+'Rb Oil  U'!G33</f>
        <v>864.51480000000004</v>
      </c>
      <c r="H33" s="63">
        <f>'Kh Oil U'!H33+'Rb Oil  U'!H33</f>
        <v>1050.2228</v>
      </c>
      <c r="I33" s="63">
        <f>'Kh Oil U'!I33+'Rb Oil  U'!I33</f>
        <v>1145.7360000000001</v>
      </c>
      <c r="J33" s="63">
        <f>'Kh Oil U'!J33+'Rb Oil  U'!J33</f>
        <v>1330.751</v>
      </c>
      <c r="K33" s="63">
        <f>'Kh Oil U'!K33+'Rb Oil  U'!K33</f>
        <v>1146.1600000000001</v>
      </c>
      <c r="L33" s="76">
        <f t="shared" si="0"/>
        <v>669.64740511231605</v>
      </c>
      <c r="M33" s="76">
        <f t="shared" si="1"/>
        <v>875.76951300867245</v>
      </c>
      <c r="N33" s="76">
        <f t="shared" si="2"/>
        <v>1054.0349586016559</v>
      </c>
      <c r="O33" s="76">
        <f t="shared" si="3"/>
        <v>1079.2789943227899</v>
      </c>
      <c r="P33" s="76">
        <f t="shared" si="3"/>
        <v>907.99334548047227</v>
      </c>
      <c r="Q33" s="135"/>
      <c r="R33" s="135"/>
    </row>
    <row r="34" spans="1:18" ht="22.5" customHeight="1" x14ac:dyDescent="0.2">
      <c r="A34" s="190" t="s">
        <v>84</v>
      </c>
      <c r="B34" s="63">
        <f>'Kh Oil U'!B34+'Rb Oil  U'!B34</f>
        <v>32.349999999999994</v>
      </c>
      <c r="C34" s="63">
        <f>'Kh Oil U'!C34+'Rb Oil  U'!C34</f>
        <v>28</v>
      </c>
      <c r="D34" s="63">
        <f>'Kh Oil U'!D34+'Rb Oil  U'!D34</f>
        <v>29</v>
      </c>
      <c r="E34" s="63">
        <f>'Kh Oil U'!E34+'Rb Oil  U'!E34</f>
        <v>29</v>
      </c>
      <c r="F34" s="63">
        <f>'Kh Oil U'!F34+'Rb Oil  U'!F34</f>
        <v>26.5</v>
      </c>
      <c r="G34" s="63">
        <f>'Kh Oil U'!G34+'Rb Oil  U'!G34</f>
        <v>35.64</v>
      </c>
      <c r="H34" s="63">
        <f>'Kh Oil U'!H34+'Rb Oil  U'!H34</f>
        <v>26</v>
      </c>
      <c r="I34" s="63">
        <f>'Kh Oil U'!I34+'Rb Oil  U'!I34</f>
        <v>26.567</v>
      </c>
      <c r="J34" s="63">
        <f>'Kh Oil U'!J34+'Rb Oil  U'!J34</f>
        <v>27.2</v>
      </c>
      <c r="K34" s="63">
        <f>'Kh Oil U'!K34+'Rb Oil  U'!K34</f>
        <v>25.084000000000003</v>
      </c>
      <c r="L34" s="76">
        <f t="shared" si="0"/>
        <v>1101.7001545595056</v>
      </c>
      <c r="M34" s="76">
        <f t="shared" si="1"/>
        <v>928.57142857142856</v>
      </c>
      <c r="N34" s="76">
        <f t="shared" si="2"/>
        <v>916.10344827586209</v>
      </c>
      <c r="O34" s="76">
        <f t="shared" si="3"/>
        <v>937.93103448275861</v>
      </c>
      <c r="P34" s="76">
        <f t="shared" si="3"/>
        <v>946.56603773584914</v>
      </c>
      <c r="Q34" s="135"/>
      <c r="R34" s="135"/>
    </row>
    <row r="35" spans="1:18" ht="22.5" customHeight="1" x14ac:dyDescent="0.2">
      <c r="A35" s="190" t="s">
        <v>23</v>
      </c>
      <c r="B35" s="63">
        <f>'Kh Oil U'!B35+'Rb Oil  U'!B35</f>
        <v>793.47299999999996</v>
      </c>
      <c r="C35" s="63">
        <f>'Kh Oil U'!C35+'Rb Oil  U'!C35</f>
        <v>792.21199999999999</v>
      </c>
      <c r="D35" s="63">
        <f>'Kh Oil U'!D35+'Rb Oil  U'!D35</f>
        <v>946.28</v>
      </c>
      <c r="E35" s="63">
        <f>'Kh Oil U'!E35+'Rb Oil  U'!E35</f>
        <v>927.21299999999997</v>
      </c>
      <c r="F35" s="63">
        <f>'Kh Oil U'!F35+'Rb Oil  U'!F35</f>
        <v>957.95299999999997</v>
      </c>
      <c r="G35" s="63">
        <f>'Kh Oil U'!G35+'Rb Oil  U'!G35</f>
        <v>926.88499999999999</v>
      </c>
      <c r="H35" s="63">
        <f>'Kh Oil U'!H35+'Rb Oil  U'!H35</f>
        <v>908.72699999999986</v>
      </c>
      <c r="I35" s="63">
        <f>'Kh Oil U'!I35+'Rb Oil  U'!I35</f>
        <v>1134.1100000000001</v>
      </c>
      <c r="J35" s="63">
        <f>'Kh Oil U'!J35+'Rb Oil  U'!J35</f>
        <v>1163.5749979999998</v>
      </c>
      <c r="K35" s="63">
        <f>'Kh Oil U'!K35+'Rb Oil  U'!K35</f>
        <v>1015.6658420000001</v>
      </c>
      <c r="L35" s="76">
        <f t="shared" si="0"/>
        <v>1168.1367860028004</v>
      </c>
      <c r="M35" s="76">
        <f t="shared" si="1"/>
        <v>1147.0755302873472</v>
      </c>
      <c r="N35" s="76">
        <f t="shared" si="2"/>
        <v>1198.4930464555948</v>
      </c>
      <c r="O35" s="76">
        <f t="shared" si="3"/>
        <v>1254.9166135505002</v>
      </c>
      <c r="P35" s="76">
        <f t="shared" si="3"/>
        <v>1060.2460058061306</v>
      </c>
      <c r="Q35" s="135"/>
      <c r="R35" s="135"/>
    </row>
    <row r="36" spans="1:18" ht="22.5" customHeight="1" x14ac:dyDescent="0.2">
      <c r="A36" s="190" t="s">
        <v>102</v>
      </c>
      <c r="B36" s="63">
        <f>'Kh Oil U'!B36+'Rb Oil  U'!B36</f>
        <v>4.0300000000000002E-2</v>
      </c>
      <c r="C36" s="63">
        <f>'Kh Oil U'!C36+'Rb Oil  U'!C36</f>
        <v>8.5000000000000006E-3</v>
      </c>
      <c r="D36" s="63">
        <f>'Kh Oil U'!D36+'Rb Oil  U'!D36</f>
        <v>3.3E-4</v>
      </c>
      <c r="E36" s="63">
        <f>'Kh Oil U'!E36+'Rb Oil  U'!E36</f>
        <v>1.4999999999999998E-3</v>
      </c>
      <c r="F36" s="63">
        <f>'Kh Oil U'!F36+'Rb Oil  U'!F36</f>
        <v>0</v>
      </c>
      <c r="G36" s="63">
        <f>'Kh Oil U'!G36+'Rb Oil  U'!G36</f>
        <v>8.0499999999999999E-3</v>
      </c>
      <c r="H36" s="63">
        <f>'Kh Oil U'!H36+'Rb Oil  U'!H36</f>
        <v>2.2100000000000002E-3</v>
      </c>
      <c r="I36" s="63">
        <f>'Kh Oil U'!I36+'Rb Oil  U'!I36</f>
        <v>5.6978999999999992E-4</v>
      </c>
      <c r="J36" s="63">
        <f>'Kh Oil U'!J36+'Rb Oil  U'!J36</f>
        <v>1.4999999999999998E-3</v>
      </c>
      <c r="K36" s="63">
        <f>'Kh Oil U'!K36+'Rb Oil  U'!K36</f>
        <v>0</v>
      </c>
      <c r="L36" s="76">
        <f t="shared" si="0"/>
        <v>199.75186104218363</v>
      </c>
      <c r="M36" s="76">
        <f t="shared" si="1"/>
        <v>260</v>
      </c>
      <c r="N36" s="76">
        <f t="shared" si="2"/>
        <v>1726.6363636363633</v>
      </c>
      <c r="O36" s="76">
        <f t="shared" si="3"/>
        <v>1000</v>
      </c>
      <c r="P36" s="76" t="e">
        <f t="shared" si="3"/>
        <v>#DIV/0!</v>
      </c>
      <c r="Q36" s="135"/>
      <c r="R36" s="135"/>
    </row>
    <row r="37" spans="1:18" ht="22.5" customHeight="1" x14ac:dyDescent="0.2">
      <c r="A37" s="190" t="s">
        <v>53</v>
      </c>
      <c r="B37" s="63">
        <f>'Kh Oil U'!B37+'Rb Oil  U'!B37</f>
        <v>0</v>
      </c>
      <c r="C37" s="63">
        <f>'Kh Oil U'!C37+'Rb Oil  U'!C37</f>
        <v>4.0999999999999995E-2</v>
      </c>
      <c r="D37" s="63">
        <f>'Kh Oil U'!D37+'Rb Oil  U'!D37</f>
        <v>1.4000000000000002E-2</v>
      </c>
      <c r="E37" s="63">
        <f>'Kh Oil U'!E37+'Rb Oil  U'!E37</f>
        <v>6.9999999999999993E-2</v>
      </c>
      <c r="F37" s="63">
        <f>'Kh Oil U'!F37+'Rb Oil  U'!F37</f>
        <v>4.0999999999999995E-2</v>
      </c>
      <c r="G37" s="63">
        <f>'Kh Oil U'!G37+'Rb Oil  U'!G37</f>
        <v>0</v>
      </c>
      <c r="H37" s="63">
        <f>'Kh Oil U'!H37+'Rb Oil  U'!H37</f>
        <v>1.4999999999999999E-2</v>
      </c>
      <c r="I37" s="63">
        <f>'Kh Oil U'!I37+'Rb Oil  U'!I37</f>
        <v>5.0500000000000007E-3</v>
      </c>
      <c r="J37" s="63">
        <f>'Kh Oil U'!J37+'Rb Oil  U'!J37</f>
        <v>4.1270000000000001E-2</v>
      </c>
      <c r="K37" s="63">
        <f>'Kh Oil U'!K37+'Rb Oil  U'!K37</f>
        <v>1.4500000000000001E-2</v>
      </c>
      <c r="L37" s="76" t="e">
        <f t="shared" si="0"/>
        <v>#DIV/0!</v>
      </c>
      <c r="M37" s="76">
        <f t="shared" si="1"/>
        <v>365.85365853658539</v>
      </c>
      <c r="N37" s="76">
        <f t="shared" si="2"/>
        <v>360.71428571428572</v>
      </c>
      <c r="O37" s="76">
        <f t="shared" si="3"/>
        <v>589.57142857142867</v>
      </c>
      <c r="P37" s="76">
        <f t="shared" si="3"/>
        <v>353.65853658536588</v>
      </c>
      <c r="Q37" s="135"/>
      <c r="R37" s="135"/>
    </row>
    <row r="38" spans="1:18" ht="22.5" customHeight="1" x14ac:dyDescent="0.2">
      <c r="A38" s="190" t="s">
        <v>54</v>
      </c>
      <c r="B38" s="63">
        <f>'Rb Oil  U'!B38</f>
        <v>3.6850000000000001</v>
      </c>
      <c r="C38" s="63">
        <f>'Rb Oil  U'!C38</f>
        <v>3.6280000000000001</v>
      </c>
      <c r="D38" s="63">
        <f>'Rb Oil  U'!D38</f>
        <v>3.593</v>
      </c>
      <c r="E38" s="63">
        <f>'Rb Oil  U'!E38</f>
        <v>3.585</v>
      </c>
      <c r="F38" s="63">
        <f>'Rb Oil  U'!F38</f>
        <v>3.585</v>
      </c>
      <c r="G38" s="63">
        <f>'Rb Oil  U'!G38</f>
        <v>4.6429999999999998</v>
      </c>
      <c r="H38" s="63">
        <f>'Rb Oil  U'!H38</f>
        <v>4.5270000000000001</v>
      </c>
      <c r="I38" s="63">
        <f>'Rb Oil  U'!I38</f>
        <v>4.5271800000000004</v>
      </c>
      <c r="J38" s="63">
        <f>'Rb Oil  U'!J38</f>
        <v>4.5242699999999996</v>
      </c>
      <c r="K38" s="63">
        <f>'Rb Oil  U'!K38</f>
        <v>4.5199999999999996</v>
      </c>
      <c r="L38" s="76">
        <f t="shared" si="0"/>
        <v>1259.9728629579374</v>
      </c>
      <c r="M38" s="76">
        <f t="shared" si="1"/>
        <v>1247.7949283351709</v>
      </c>
      <c r="N38" s="76">
        <f t="shared" si="2"/>
        <v>1260.0000000000002</v>
      </c>
      <c r="O38" s="76">
        <f t="shared" si="3"/>
        <v>1261.9999999999998</v>
      </c>
      <c r="P38" s="76">
        <f t="shared" si="3"/>
        <v>1260.8089260808927</v>
      </c>
      <c r="Q38" s="135"/>
      <c r="R38" s="135"/>
    </row>
    <row r="39" spans="1:18" ht="24" customHeight="1" x14ac:dyDescent="0.2">
      <c r="A39" s="190" t="s">
        <v>137</v>
      </c>
      <c r="B39" s="63">
        <f>'Kh Oil U'!B38+'Rb Oil  U'!B39</f>
        <v>0.42</v>
      </c>
      <c r="C39" s="63">
        <f>'Kh Oil U'!C38+'Rb Oil  U'!C39</f>
        <v>0.32899999999999996</v>
      </c>
      <c r="D39" s="63">
        <f>'Kh Oil U'!D38+'Rb Oil  U'!D39</f>
        <v>0.371</v>
      </c>
      <c r="E39" s="63">
        <f>'Kh Oil U'!E38+'Rb Oil  U'!E39</f>
        <v>0.41400000000000003</v>
      </c>
      <c r="F39" s="63">
        <f>'Kh Oil U'!F38+'Rb Oil  U'!F39</f>
        <v>0.46800000000000003</v>
      </c>
      <c r="G39" s="63">
        <f>'Kh Oil U'!G38+'Rb Oil  U'!G39</f>
        <v>0.98499999999999999</v>
      </c>
      <c r="H39" s="63">
        <f>'Kh Oil U'!H38+'Rb Oil  U'!H39</f>
        <v>0.82599999999999996</v>
      </c>
      <c r="I39" s="63">
        <f>'Kh Oil U'!I38+'Rb Oil  U'!I39</f>
        <v>0.92899100000000001</v>
      </c>
      <c r="J39" s="63">
        <f>'Kh Oil U'!J38+'Rb Oil  U'!J39</f>
        <v>1.026969</v>
      </c>
      <c r="K39" s="63">
        <f>'Kh Oil U'!K38+'Rb Oil  U'!K39</f>
        <v>0.9270449999999999</v>
      </c>
      <c r="L39" s="76">
        <f t="shared" si="0"/>
        <v>2345.2380952380954</v>
      </c>
      <c r="M39" s="76">
        <f t="shared" si="1"/>
        <v>2510.6382978723409</v>
      </c>
      <c r="N39" s="76">
        <f t="shared" si="2"/>
        <v>2504.0188679245284</v>
      </c>
      <c r="O39" s="76">
        <f t="shared" si="3"/>
        <v>2480.6014492753625</v>
      </c>
      <c r="P39" s="76">
        <f t="shared" si="3"/>
        <v>1980.8653846153843</v>
      </c>
      <c r="Q39" s="135"/>
      <c r="R39" s="135"/>
    </row>
    <row r="40" spans="1:18" s="18" customFormat="1" ht="22.5" customHeight="1" x14ac:dyDescent="0.2">
      <c r="A40" s="190" t="s">
        <v>44</v>
      </c>
      <c r="B40" s="81">
        <f>'Kh Oil U'!B39+'Rb Oil  U'!B40</f>
        <v>26086.775300000005</v>
      </c>
      <c r="C40" s="81">
        <f>'Kh Oil U'!C39+'Rb Oil  U'!C40</f>
        <v>26177.121500000001</v>
      </c>
      <c r="D40" s="81">
        <f>'Kh Oil U'!D39+'Rb Oil  U'!D40</f>
        <v>24507.900029999997</v>
      </c>
      <c r="E40" s="130">
        <f>'Kh Oil U'!E39+'Rb Oil  U'!E40</f>
        <v>24794.304100000001</v>
      </c>
      <c r="F40" s="81">
        <v>27139.288</v>
      </c>
      <c r="G40" s="81">
        <f>'Kh Oil U'!G39+'Rb Oil  U'!G40</f>
        <v>25250.775709000001</v>
      </c>
      <c r="H40" s="81">
        <f>'Kh Oil U'!H39+'Rb Oil  U'!H40</f>
        <v>31275.616209999993</v>
      </c>
      <c r="I40" s="81">
        <f>'Kh Oil U'!I39+'Rb Oil  U'!I40</f>
        <v>31459.262539190004</v>
      </c>
      <c r="J40" s="81">
        <f>'Kh Oil U'!J39+'Rb Oil  U'!J40</f>
        <v>31521.765188496516</v>
      </c>
      <c r="K40" s="81">
        <f>'Kh Oil U'!K39+'Rb Oil  U'!K40</f>
        <v>33219.216144365113</v>
      </c>
      <c r="L40" s="77">
        <f t="shared" si="0"/>
        <v>967.95312638737676</v>
      </c>
      <c r="M40" s="77">
        <f t="shared" si="1"/>
        <v>1194.7691120278444</v>
      </c>
      <c r="N40" s="77">
        <f t="shared" si="2"/>
        <v>1283.6376229983343</v>
      </c>
      <c r="O40" s="77">
        <f t="shared" si="3"/>
        <v>1271.3309097671554</v>
      </c>
      <c r="P40" s="77">
        <f t="shared" si="3"/>
        <v>1224.0268110336983</v>
      </c>
      <c r="Q40" s="136"/>
      <c r="R40" s="136"/>
    </row>
    <row r="41" spans="1:18" x14ac:dyDescent="0.2">
      <c r="A41" s="38"/>
    </row>
    <row r="42" spans="1:18" x14ac:dyDescent="0.2">
      <c r="A42" s="13"/>
    </row>
    <row r="43" spans="1:18" ht="15" x14ac:dyDescent="0.2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8" ht="15" x14ac:dyDescent="0.2"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mergeCells count="5">
    <mergeCell ref="B5:F5"/>
    <mergeCell ref="A5:A6"/>
    <mergeCell ref="A4:M4"/>
    <mergeCell ref="L5:P5"/>
    <mergeCell ref="G5:K5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5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S42"/>
  <sheetViews>
    <sheetView view="pageBreakPreview" topLeftCell="B1" zoomScale="55" zoomScaleSheetLayoutView="55" workbookViewId="0">
      <selection activeCell="K41" sqref="B41:K42"/>
    </sheetView>
  </sheetViews>
  <sheetFormatPr defaultRowHeight="18" x14ac:dyDescent="0.2"/>
  <cols>
    <col min="1" max="1" width="28.5703125" style="22" customWidth="1"/>
    <col min="2" max="2" width="13.28515625" style="31" customWidth="1"/>
    <col min="3" max="3" width="14.140625" style="31" customWidth="1"/>
    <col min="4" max="4" width="14.140625" style="31" bestFit="1" customWidth="1"/>
    <col min="5" max="5" width="13.28515625" style="31" customWidth="1"/>
    <col min="6" max="6" width="15.5703125" style="31" customWidth="1"/>
    <col min="7" max="9" width="17.28515625" style="31" bestFit="1" customWidth="1"/>
    <col min="10" max="10" width="17" style="31" bestFit="1" customWidth="1"/>
    <col min="11" max="11" width="17.7109375" style="24" customWidth="1"/>
    <col min="12" max="18" width="13.85546875" style="22" customWidth="1"/>
    <col min="19" max="16384" width="9.140625" style="22"/>
  </cols>
  <sheetData>
    <row r="2" spans="1:19" ht="36" customHeight="1" x14ac:dyDescent="0.2">
      <c r="A2" s="235" t="s">
        <v>94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S2" s="2"/>
    </row>
    <row r="3" spans="1:19" ht="21" customHeight="1" x14ac:dyDescent="0.2">
      <c r="A3" s="234" t="s">
        <v>140</v>
      </c>
      <c r="B3" s="213" t="s">
        <v>114</v>
      </c>
      <c r="C3" s="213"/>
      <c r="D3" s="213"/>
      <c r="E3" s="213"/>
      <c r="F3" s="213"/>
      <c r="G3" s="213" t="s">
        <v>81</v>
      </c>
      <c r="H3" s="213"/>
      <c r="I3" s="213"/>
      <c r="J3" s="213"/>
      <c r="K3" s="213"/>
      <c r="L3" s="213" t="s">
        <v>78</v>
      </c>
      <c r="M3" s="213"/>
      <c r="N3" s="213"/>
      <c r="O3" s="213"/>
      <c r="P3" s="213"/>
      <c r="Q3" s="108"/>
      <c r="R3" s="108"/>
    </row>
    <row r="4" spans="1:19" s="24" customFormat="1" ht="30.75" customHeight="1" x14ac:dyDescent="0.2">
      <c r="A4" s="234"/>
      <c r="B4" s="90" t="s">
        <v>107</v>
      </c>
      <c r="C4" s="90" t="s">
        <v>108</v>
      </c>
      <c r="D4" s="196" t="s">
        <v>111</v>
      </c>
      <c r="E4" s="196" t="s">
        <v>138</v>
      </c>
      <c r="F4" s="196" t="s">
        <v>141</v>
      </c>
      <c r="G4" s="90" t="s">
        <v>107</v>
      </c>
      <c r="H4" s="90" t="s">
        <v>108</v>
      </c>
      <c r="I4" s="196" t="s">
        <v>111</v>
      </c>
      <c r="J4" s="196" t="s">
        <v>138</v>
      </c>
      <c r="K4" s="196" t="s">
        <v>141</v>
      </c>
      <c r="L4" s="90" t="s">
        <v>107</v>
      </c>
      <c r="M4" s="90" t="s">
        <v>108</v>
      </c>
      <c r="N4" s="196" t="s">
        <v>111</v>
      </c>
      <c r="O4" s="196" t="s">
        <v>138</v>
      </c>
      <c r="P4" s="196" t="s">
        <v>141</v>
      </c>
      <c r="Q4" s="108"/>
      <c r="R4" s="108"/>
    </row>
    <row r="5" spans="1:19" s="36" customFormat="1" ht="15" hidden="1" customHeight="1" x14ac:dyDescent="0.2">
      <c r="A5" s="113">
        <v>1</v>
      </c>
      <c r="B5" s="114"/>
      <c r="C5" s="114"/>
      <c r="D5" s="115"/>
      <c r="E5" s="115"/>
      <c r="F5" s="115"/>
      <c r="G5" s="114"/>
      <c r="H5" s="114"/>
      <c r="I5" s="115"/>
      <c r="J5" s="115"/>
      <c r="K5" s="115"/>
      <c r="L5" s="115"/>
      <c r="M5" s="115"/>
      <c r="N5" s="115"/>
      <c r="O5" s="115"/>
      <c r="P5" s="115"/>
      <c r="Q5" s="35"/>
      <c r="R5" s="35"/>
    </row>
    <row r="6" spans="1:19" ht="28.5" customHeight="1" x14ac:dyDescent="0.2">
      <c r="A6" s="197" t="s">
        <v>1</v>
      </c>
      <c r="B6" s="78">
        <v>122</v>
      </c>
      <c r="C6" s="78">
        <v>103</v>
      </c>
      <c r="D6" s="92">
        <v>99</v>
      </c>
      <c r="E6" s="92">
        <v>102</v>
      </c>
      <c r="F6" s="92">
        <v>86</v>
      </c>
      <c r="G6" s="78">
        <v>9353</v>
      </c>
      <c r="H6" s="78">
        <v>7830</v>
      </c>
      <c r="I6" s="92">
        <v>7789.6170000000002</v>
      </c>
      <c r="J6" s="92">
        <v>8094.6180000000004</v>
      </c>
      <c r="K6" s="92">
        <v>6723.9960000000001</v>
      </c>
      <c r="L6" s="91">
        <f t="shared" ref="L6:P10" si="0">G6/B6*1000</f>
        <v>76663.934426229505</v>
      </c>
      <c r="M6" s="91">
        <f t="shared" si="0"/>
        <v>76019.417475728158</v>
      </c>
      <c r="N6" s="91">
        <f t="shared" si="0"/>
        <v>78683</v>
      </c>
      <c r="O6" s="91">
        <f t="shared" si="0"/>
        <v>79359.000000000015</v>
      </c>
      <c r="P6" s="91">
        <f t="shared" si="0"/>
        <v>78186</v>
      </c>
      <c r="Q6" s="111"/>
      <c r="R6" s="111"/>
    </row>
    <row r="7" spans="1:19" ht="28.5" customHeight="1" x14ac:dyDescent="0.2">
      <c r="A7" s="197" t="s">
        <v>32</v>
      </c>
      <c r="B7" s="78">
        <v>1.95</v>
      </c>
      <c r="C7" s="78">
        <v>1.764</v>
      </c>
      <c r="D7" s="92">
        <v>1.7929999999999999</v>
      </c>
      <c r="E7" s="92">
        <v>2.13</v>
      </c>
      <c r="F7" s="92">
        <v>1.8240000000000001</v>
      </c>
      <c r="G7" s="78">
        <v>40.755000000000003</v>
      </c>
      <c r="H7" s="78">
        <v>37.744</v>
      </c>
      <c r="I7" s="92">
        <v>38.380958</v>
      </c>
      <c r="J7" s="92">
        <v>45.795000000000002</v>
      </c>
      <c r="K7" s="92">
        <v>39.216000000000001</v>
      </c>
      <c r="L7" s="91">
        <f t="shared" si="0"/>
        <v>20900.000000000004</v>
      </c>
      <c r="M7" s="91">
        <f t="shared" si="0"/>
        <v>21396.825396825396</v>
      </c>
      <c r="N7" s="91">
        <f t="shared" si="0"/>
        <v>21406.000000000004</v>
      </c>
      <c r="O7" s="91">
        <f t="shared" si="0"/>
        <v>21500.000000000004</v>
      </c>
      <c r="P7" s="91">
        <f t="shared" si="0"/>
        <v>21500</v>
      </c>
      <c r="Q7" s="111"/>
      <c r="R7" s="111"/>
    </row>
    <row r="8" spans="1:19" ht="28.5" customHeight="1" x14ac:dyDescent="0.2">
      <c r="A8" s="197" t="s">
        <v>28</v>
      </c>
      <c r="B8" s="78">
        <v>29.46</v>
      </c>
      <c r="C8" s="78">
        <v>31.382999999999999</v>
      </c>
      <c r="D8" s="92">
        <v>30.559000000000001</v>
      </c>
      <c r="E8" s="92">
        <v>31.199000000000002</v>
      </c>
      <c r="F8" s="92">
        <v>29.702999999999999</v>
      </c>
      <c r="G8" s="78">
        <v>1038.329</v>
      </c>
      <c r="H8" s="78">
        <v>1207.1669999999999</v>
      </c>
      <c r="I8" s="92">
        <v>1142.9677180000001</v>
      </c>
      <c r="J8" s="92">
        <v>1093.930537</v>
      </c>
      <c r="K8" s="92">
        <v>1218.12003</v>
      </c>
      <c r="L8" s="91">
        <f t="shared" si="0"/>
        <v>35245.383570943653</v>
      </c>
      <c r="M8" s="91">
        <f t="shared" si="0"/>
        <v>38465.634260586936</v>
      </c>
      <c r="N8" s="91">
        <f t="shared" si="0"/>
        <v>37402</v>
      </c>
      <c r="O8" s="91">
        <f t="shared" si="0"/>
        <v>35062.999999999993</v>
      </c>
      <c r="P8" s="91">
        <f t="shared" si="0"/>
        <v>41010.000000000007</v>
      </c>
      <c r="Q8" s="111"/>
      <c r="R8" s="111"/>
    </row>
    <row r="9" spans="1:19" ht="28.5" customHeight="1" x14ac:dyDescent="0.2">
      <c r="A9" s="197" t="s">
        <v>40</v>
      </c>
      <c r="B9" s="78">
        <v>244.02099999999999</v>
      </c>
      <c r="C9" s="78">
        <v>239.56700000000001</v>
      </c>
      <c r="D9" s="92">
        <v>233.76900000000001</v>
      </c>
      <c r="E9" s="92">
        <v>225.56700000000001</v>
      </c>
      <c r="F9" s="92">
        <v>223.892</v>
      </c>
      <c r="G9" s="78">
        <v>12649.316577</v>
      </c>
      <c r="H9" s="78">
        <v>13036.003000000001</v>
      </c>
      <c r="I9" s="92">
        <v>13824.631121999999</v>
      </c>
      <c r="J9" s="92">
        <v>20116.290627000002</v>
      </c>
      <c r="K9" s="92">
        <v>13578.825908000001</v>
      </c>
      <c r="L9" s="91">
        <f t="shared" si="0"/>
        <v>51837</v>
      </c>
      <c r="M9" s="91">
        <f t="shared" si="0"/>
        <v>54414.85262995321</v>
      </c>
      <c r="N9" s="91">
        <f t="shared" si="0"/>
        <v>59137.999999999993</v>
      </c>
      <c r="O9" s="91">
        <f t="shared" si="0"/>
        <v>89181.000000000015</v>
      </c>
      <c r="P9" s="91">
        <f t="shared" si="0"/>
        <v>60649</v>
      </c>
      <c r="Q9" s="111"/>
      <c r="R9" s="111"/>
    </row>
    <row r="10" spans="1:19" ht="28.5" customHeight="1" x14ac:dyDescent="0.2">
      <c r="A10" s="197" t="s">
        <v>95</v>
      </c>
      <c r="B10" s="78">
        <v>35.5</v>
      </c>
      <c r="C10" s="78">
        <v>20.8</v>
      </c>
      <c r="D10" s="92">
        <v>24.1</v>
      </c>
      <c r="E10" s="92">
        <v>32.75</v>
      </c>
      <c r="F10" s="92">
        <v>35.18</v>
      </c>
      <c r="G10" s="78">
        <v>67.8</v>
      </c>
      <c r="H10" s="78">
        <v>848</v>
      </c>
      <c r="I10" s="92">
        <v>1158.4870000000001</v>
      </c>
      <c r="J10" s="92">
        <v>1452.135</v>
      </c>
      <c r="K10" s="92">
        <v>1759</v>
      </c>
      <c r="L10" s="91">
        <f t="shared" si="0"/>
        <v>1909.8591549295775</v>
      </c>
      <c r="M10" s="91">
        <f t="shared" si="0"/>
        <v>40769.230769230766</v>
      </c>
      <c r="N10" s="91">
        <f t="shared" si="0"/>
        <v>48070</v>
      </c>
      <c r="O10" s="91">
        <f t="shared" si="0"/>
        <v>44339.999999999993</v>
      </c>
      <c r="P10" s="91">
        <f t="shared" si="0"/>
        <v>50000</v>
      </c>
      <c r="Q10" s="111"/>
      <c r="R10" s="111"/>
    </row>
    <row r="11" spans="1:19" ht="28.5" customHeight="1" x14ac:dyDescent="0.2">
      <c r="A11" s="197" t="s">
        <v>8</v>
      </c>
      <c r="B11" s="78">
        <v>157</v>
      </c>
      <c r="C11" s="92">
        <v>169</v>
      </c>
      <c r="D11" s="92">
        <v>182</v>
      </c>
      <c r="E11" s="92">
        <v>154.77000000000001</v>
      </c>
      <c r="F11" s="92">
        <v>160.94</v>
      </c>
      <c r="G11" s="78">
        <f>1112*10</f>
        <v>11120</v>
      </c>
      <c r="H11" s="92">
        <v>11950</v>
      </c>
      <c r="I11" s="92">
        <v>12072.06</v>
      </c>
      <c r="J11" s="92">
        <v>11326.378140000001</v>
      </c>
      <c r="K11" s="92">
        <v>11569.9766</v>
      </c>
      <c r="L11" s="91">
        <f t="shared" ref="L11:L34" si="1">G11/B11*1000</f>
        <v>70828.025477707008</v>
      </c>
      <c r="M11" s="91">
        <f>H12/C12*1000</f>
        <v>44840.579710144928</v>
      </c>
      <c r="N11" s="91">
        <f t="shared" ref="N11:N38" si="2">I11/D11*1000</f>
        <v>66330</v>
      </c>
      <c r="O11" s="91">
        <f t="shared" ref="O11:P38" si="3">J11/E11*1000</f>
        <v>73182</v>
      </c>
      <c r="P11" s="91">
        <f t="shared" si="3"/>
        <v>71890</v>
      </c>
      <c r="Q11" s="111"/>
      <c r="R11" s="111"/>
    </row>
    <row r="12" spans="1:19" ht="28.5" customHeight="1" x14ac:dyDescent="0.2">
      <c r="A12" s="197" t="s">
        <v>7</v>
      </c>
      <c r="B12" s="92">
        <v>0</v>
      </c>
      <c r="C12" s="78">
        <v>0.89700000000000002</v>
      </c>
      <c r="D12" s="92">
        <v>0</v>
      </c>
      <c r="E12" s="92">
        <v>0.88800000000000001</v>
      </c>
      <c r="F12" s="92">
        <v>0.81140000000000001</v>
      </c>
      <c r="G12" s="92">
        <v>0</v>
      </c>
      <c r="H12" s="78">
        <v>40.222000000000001</v>
      </c>
      <c r="I12" s="92">
        <v>0</v>
      </c>
      <c r="J12" s="92">
        <v>35.307768000000003</v>
      </c>
      <c r="K12" s="92">
        <v>53.71</v>
      </c>
      <c r="L12" s="91" t="e">
        <f t="shared" si="1"/>
        <v>#DIV/0!</v>
      </c>
      <c r="M12" s="91">
        <f>H11/C11*1000</f>
        <v>70710.059171597633</v>
      </c>
      <c r="N12" s="91" t="e">
        <f t="shared" si="2"/>
        <v>#DIV/0!</v>
      </c>
      <c r="O12" s="91">
        <f t="shared" si="3"/>
        <v>39761</v>
      </c>
      <c r="P12" s="91">
        <f t="shared" si="3"/>
        <v>66194.232191274335</v>
      </c>
      <c r="Q12" s="111"/>
      <c r="R12" s="111"/>
    </row>
    <row r="13" spans="1:19" ht="28.5" customHeight="1" x14ac:dyDescent="0.2">
      <c r="A13" s="197" t="s">
        <v>34</v>
      </c>
      <c r="B13" s="78">
        <v>93</v>
      </c>
      <c r="C13" s="78">
        <v>102</v>
      </c>
      <c r="D13" s="92">
        <v>114</v>
      </c>
      <c r="E13" s="92">
        <v>108.7</v>
      </c>
      <c r="F13" s="92">
        <v>96.3</v>
      </c>
      <c r="G13" s="78">
        <v>6692</v>
      </c>
      <c r="H13" s="78">
        <v>8223</v>
      </c>
      <c r="I13" s="92">
        <v>9632.8860000000004</v>
      </c>
      <c r="J13" s="92">
        <v>8505.0141000000003</v>
      </c>
      <c r="K13" s="92">
        <v>7730.3861999999999</v>
      </c>
      <c r="L13" s="91">
        <f t="shared" si="1"/>
        <v>71956.989247311823</v>
      </c>
      <c r="M13" s="91">
        <f t="shared" ref="M13:M34" si="4">H13/C13*1000</f>
        <v>80617.647058823539</v>
      </c>
      <c r="N13" s="91">
        <f t="shared" si="2"/>
        <v>84499.000000000015</v>
      </c>
      <c r="O13" s="91">
        <f t="shared" si="3"/>
        <v>78243</v>
      </c>
      <c r="P13" s="91">
        <f t="shared" si="3"/>
        <v>80274</v>
      </c>
      <c r="Q13" s="111"/>
      <c r="R13" s="111"/>
    </row>
    <row r="14" spans="1:19" ht="28.5" customHeight="1" x14ac:dyDescent="0.2">
      <c r="A14" s="197" t="s">
        <v>10</v>
      </c>
      <c r="B14" s="89">
        <v>1.9390000000000001</v>
      </c>
      <c r="C14" s="89">
        <v>1.73</v>
      </c>
      <c r="D14" s="92">
        <v>1.8740000000000001</v>
      </c>
      <c r="E14" s="92">
        <v>1.7</v>
      </c>
      <c r="F14" s="92">
        <v>1.603</v>
      </c>
      <c r="G14" s="89">
        <v>38.722999999999999</v>
      </c>
      <c r="H14" s="89">
        <v>21.053999999999998</v>
      </c>
      <c r="I14" s="92">
        <v>36.72999999999999</v>
      </c>
      <c r="J14" s="92">
        <v>33.32</v>
      </c>
      <c r="K14" s="92">
        <v>32.013512999999996</v>
      </c>
      <c r="L14" s="91">
        <f t="shared" si="1"/>
        <v>19970.603403816396</v>
      </c>
      <c r="M14" s="91">
        <f t="shared" si="4"/>
        <v>12169.942196531791</v>
      </c>
      <c r="N14" s="91">
        <f t="shared" si="2"/>
        <v>19599.786552828165</v>
      </c>
      <c r="O14" s="91">
        <f t="shared" si="3"/>
        <v>19600</v>
      </c>
      <c r="P14" s="91">
        <f t="shared" si="3"/>
        <v>19970.999999999996</v>
      </c>
      <c r="Q14" s="111"/>
      <c r="R14" s="111"/>
    </row>
    <row r="15" spans="1:19" ht="28.5" customHeight="1" x14ac:dyDescent="0.2">
      <c r="A15" s="197" t="s">
        <v>35</v>
      </c>
      <c r="B15" s="78">
        <v>0.193</v>
      </c>
      <c r="C15" s="63">
        <v>0</v>
      </c>
      <c r="D15" s="92">
        <v>0</v>
      </c>
      <c r="E15" s="92">
        <v>0</v>
      </c>
      <c r="F15" s="92">
        <v>0</v>
      </c>
      <c r="G15" s="78">
        <v>0.28949999999999998</v>
      </c>
      <c r="H15" s="63">
        <v>0</v>
      </c>
      <c r="I15" s="92">
        <v>0</v>
      </c>
      <c r="J15" s="92">
        <v>0</v>
      </c>
      <c r="K15" s="92">
        <v>0</v>
      </c>
      <c r="L15" s="91">
        <f t="shared" si="1"/>
        <v>1499.9999999999998</v>
      </c>
      <c r="M15" s="91" t="e">
        <f t="shared" si="4"/>
        <v>#DIV/0!</v>
      </c>
      <c r="N15" s="91" t="e">
        <f t="shared" si="2"/>
        <v>#DIV/0!</v>
      </c>
      <c r="O15" s="91" t="e">
        <f t="shared" si="3"/>
        <v>#DIV/0!</v>
      </c>
      <c r="P15" s="91" t="e">
        <f t="shared" si="3"/>
        <v>#DIV/0!</v>
      </c>
      <c r="Q15" s="111"/>
      <c r="R15" s="111"/>
    </row>
    <row r="16" spans="1:19" ht="28.5" customHeight="1" x14ac:dyDescent="0.2">
      <c r="A16" s="197" t="s">
        <v>30</v>
      </c>
      <c r="B16" s="78">
        <v>10.199999999999999</v>
      </c>
      <c r="C16" s="78">
        <v>7.4</v>
      </c>
      <c r="D16" s="92">
        <v>8.2119999999999997</v>
      </c>
      <c r="E16" s="92">
        <v>0</v>
      </c>
      <c r="F16" s="92">
        <v>0</v>
      </c>
      <c r="G16" s="78">
        <v>708.9</v>
      </c>
      <c r="H16" s="78">
        <v>512.93100000000004</v>
      </c>
      <c r="I16" s="92">
        <v>574.84</v>
      </c>
      <c r="J16" s="92">
        <v>0</v>
      </c>
      <c r="K16" s="92">
        <v>0</v>
      </c>
      <c r="L16" s="91">
        <f t="shared" si="1"/>
        <v>69500</v>
      </c>
      <c r="M16" s="91">
        <f t="shared" si="4"/>
        <v>69315</v>
      </c>
      <c r="N16" s="91">
        <f t="shared" si="2"/>
        <v>70000</v>
      </c>
      <c r="O16" s="91" t="e">
        <f t="shared" si="3"/>
        <v>#DIV/0!</v>
      </c>
      <c r="P16" s="91" t="e">
        <f t="shared" si="3"/>
        <v>#DIV/0!</v>
      </c>
      <c r="Q16" s="111"/>
      <c r="R16" s="111"/>
    </row>
    <row r="17" spans="1:18" ht="28.5" customHeight="1" x14ac:dyDescent="0.2">
      <c r="A17" s="197" t="s">
        <v>11</v>
      </c>
      <c r="B17" s="78">
        <v>450</v>
      </c>
      <c r="C17" s="78">
        <v>397</v>
      </c>
      <c r="D17" s="92">
        <v>370.3</v>
      </c>
      <c r="E17" s="92">
        <v>471.2</v>
      </c>
      <c r="F17" s="92">
        <v>429</v>
      </c>
      <c r="G17" s="78">
        <v>37833.75</v>
      </c>
      <c r="H17" s="78">
        <v>27378</v>
      </c>
      <c r="I17" s="92">
        <v>31135.194299999999</v>
      </c>
      <c r="J17" s="92">
        <v>42408</v>
      </c>
      <c r="K17" s="92">
        <v>38181</v>
      </c>
      <c r="L17" s="91">
        <f t="shared" si="1"/>
        <v>84075</v>
      </c>
      <c r="M17" s="91">
        <f t="shared" si="4"/>
        <v>68962.216624685141</v>
      </c>
      <c r="N17" s="91">
        <f t="shared" si="2"/>
        <v>84080.999999999985</v>
      </c>
      <c r="O17" s="91">
        <f t="shared" si="3"/>
        <v>90000</v>
      </c>
      <c r="P17" s="91">
        <f t="shared" si="3"/>
        <v>89000</v>
      </c>
      <c r="Q17" s="111"/>
      <c r="R17" s="111"/>
    </row>
    <row r="18" spans="1:18" ht="28.5" customHeight="1" x14ac:dyDescent="0.2">
      <c r="A18" s="197" t="s">
        <v>12</v>
      </c>
      <c r="B18" s="78">
        <v>1.3620000000000001</v>
      </c>
      <c r="C18" s="78">
        <v>1.0629999999999999</v>
      </c>
      <c r="D18" s="92">
        <v>1.048</v>
      </c>
      <c r="E18" s="92">
        <v>1.0119</v>
      </c>
      <c r="F18" s="92">
        <v>0.95</v>
      </c>
      <c r="G18" s="78">
        <f>13.813*10</f>
        <v>138.13</v>
      </c>
      <c r="H18" s="78">
        <v>113.13</v>
      </c>
      <c r="I18" s="92">
        <v>115.11232000000001</v>
      </c>
      <c r="J18" s="92">
        <v>106.300095</v>
      </c>
      <c r="K18" s="92">
        <v>120.8305</v>
      </c>
      <c r="L18" s="91">
        <f t="shared" si="1"/>
        <v>101417.03377386196</v>
      </c>
      <c r="M18" s="91">
        <f t="shared" si="4"/>
        <v>106425.21166509877</v>
      </c>
      <c r="N18" s="91">
        <f t="shared" si="2"/>
        <v>109840</v>
      </c>
      <c r="O18" s="91">
        <f t="shared" si="3"/>
        <v>105050</v>
      </c>
      <c r="P18" s="91">
        <f t="shared" si="3"/>
        <v>127190.00000000001</v>
      </c>
      <c r="Q18" s="111"/>
      <c r="R18" s="111"/>
    </row>
    <row r="19" spans="1:18" ht="28.5" customHeight="1" x14ac:dyDescent="0.2">
      <c r="A19" s="197" t="s">
        <v>13</v>
      </c>
      <c r="B19" s="78">
        <v>103</v>
      </c>
      <c r="C19" s="78">
        <v>92</v>
      </c>
      <c r="D19" s="92">
        <v>98</v>
      </c>
      <c r="E19" s="92">
        <v>108</v>
      </c>
      <c r="F19" s="92">
        <v>125</v>
      </c>
      <c r="G19" s="78">
        <v>5281</v>
      </c>
      <c r="H19" s="78">
        <v>4730</v>
      </c>
      <c r="I19" s="92">
        <v>5430</v>
      </c>
      <c r="J19" s="92">
        <v>5281.74</v>
      </c>
      <c r="K19" s="92">
        <v>7433.75</v>
      </c>
      <c r="L19" s="91">
        <f t="shared" si="1"/>
        <v>51271.844660194176</v>
      </c>
      <c r="M19" s="91">
        <f t="shared" si="4"/>
        <v>51413.043478260865</v>
      </c>
      <c r="N19" s="91">
        <f t="shared" si="2"/>
        <v>55408.163265306124</v>
      </c>
      <c r="O19" s="91">
        <f t="shared" si="3"/>
        <v>48905</v>
      </c>
      <c r="P19" s="91">
        <f t="shared" si="3"/>
        <v>59470</v>
      </c>
      <c r="Q19" s="111"/>
      <c r="R19" s="111"/>
    </row>
    <row r="20" spans="1:18" ht="28.5" customHeight="1" x14ac:dyDescent="0.2">
      <c r="A20" s="197" t="s">
        <v>14</v>
      </c>
      <c r="B20" s="78">
        <v>987</v>
      </c>
      <c r="C20" s="78">
        <v>633.29999999999995</v>
      </c>
      <c r="D20" s="92">
        <v>902</v>
      </c>
      <c r="E20" s="92">
        <v>1162.8</v>
      </c>
      <c r="F20" s="92">
        <v>822.4</v>
      </c>
      <c r="G20" s="78">
        <v>73679.55</v>
      </c>
      <c r="H20" s="78">
        <v>52262.446500000049</v>
      </c>
      <c r="I20" s="92">
        <v>82984</v>
      </c>
      <c r="J20" s="92">
        <v>89768.16</v>
      </c>
      <c r="K20" s="92">
        <v>69311.872000000003</v>
      </c>
      <c r="L20" s="91">
        <f t="shared" si="1"/>
        <v>74650</v>
      </c>
      <c r="M20" s="91">
        <f t="shared" si="4"/>
        <v>82523.995736617813</v>
      </c>
      <c r="N20" s="91">
        <f t="shared" si="2"/>
        <v>92000</v>
      </c>
      <c r="O20" s="91">
        <f t="shared" si="3"/>
        <v>77200</v>
      </c>
      <c r="P20" s="91">
        <f t="shared" si="3"/>
        <v>84280</v>
      </c>
      <c r="Q20" s="111"/>
      <c r="R20" s="111"/>
    </row>
    <row r="21" spans="1:18" ht="28.5" customHeight="1" x14ac:dyDescent="0.2">
      <c r="A21" s="197" t="s">
        <v>36</v>
      </c>
      <c r="B21" s="78">
        <v>6</v>
      </c>
      <c r="C21" s="78">
        <v>6</v>
      </c>
      <c r="D21" s="92">
        <v>6</v>
      </c>
      <c r="E21" s="92">
        <v>5.45</v>
      </c>
      <c r="F21" s="92">
        <v>0</v>
      </c>
      <c r="G21" s="78">
        <v>348</v>
      </c>
      <c r="H21" s="78">
        <v>348</v>
      </c>
      <c r="I21" s="92">
        <v>348</v>
      </c>
      <c r="J21" s="92">
        <v>315.06995000000001</v>
      </c>
      <c r="K21" s="92">
        <v>0</v>
      </c>
      <c r="L21" s="91">
        <f t="shared" si="1"/>
        <v>58000</v>
      </c>
      <c r="M21" s="91">
        <f t="shared" si="4"/>
        <v>58000</v>
      </c>
      <c r="N21" s="91">
        <f t="shared" si="2"/>
        <v>58000</v>
      </c>
      <c r="O21" s="91">
        <f t="shared" si="3"/>
        <v>57811</v>
      </c>
      <c r="P21" s="91" t="e">
        <f t="shared" si="3"/>
        <v>#DIV/0!</v>
      </c>
      <c r="Q21" s="111"/>
      <c r="R21" s="111"/>
    </row>
    <row r="22" spans="1:18" ht="28.5" customHeight="1" x14ac:dyDescent="0.2">
      <c r="A22" s="197" t="s">
        <v>96</v>
      </c>
      <c r="B22" s="78">
        <v>0.11700000000000001</v>
      </c>
      <c r="C22" s="78">
        <v>0.12</v>
      </c>
      <c r="D22" s="92">
        <v>0.121</v>
      </c>
      <c r="E22" s="92">
        <v>0.125</v>
      </c>
      <c r="F22" s="92">
        <v>0.128</v>
      </c>
      <c r="G22" s="78">
        <v>0.35599999999999998</v>
      </c>
      <c r="H22" s="78">
        <v>0.36</v>
      </c>
      <c r="I22" s="92">
        <v>0.36094299999999996</v>
      </c>
      <c r="J22" s="92">
        <v>0.374</v>
      </c>
      <c r="K22" s="92">
        <v>0.38400000000000001</v>
      </c>
      <c r="L22" s="91">
        <f t="shared" si="1"/>
        <v>3042.7350427350425</v>
      </c>
      <c r="M22" s="91">
        <f t="shared" si="4"/>
        <v>3000</v>
      </c>
      <c r="N22" s="91">
        <f t="shared" si="2"/>
        <v>2982.9999999999995</v>
      </c>
      <c r="O22" s="91">
        <f t="shared" si="3"/>
        <v>2992</v>
      </c>
      <c r="P22" s="91">
        <f t="shared" si="3"/>
        <v>3000</v>
      </c>
      <c r="Q22" s="111"/>
      <c r="R22" s="111"/>
    </row>
    <row r="23" spans="1:18" ht="28.5" customHeight="1" x14ac:dyDescent="0.2">
      <c r="A23" s="197" t="s">
        <v>97</v>
      </c>
      <c r="B23" s="78">
        <v>1.542</v>
      </c>
      <c r="C23" s="78">
        <v>1.5880000000000001</v>
      </c>
      <c r="D23" s="92">
        <v>1.5588</v>
      </c>
      <c r="E23" s="92">
        <v>1.462</v>
      </c>
      <c r="F23" s="92">
        <v>1.468</v>
      </c>
      <c r="G23" s="78">
        <v>51.27</v>
      </c>
      <c r="H23" s="78">
        <v>50.532800000000002</v>
      </c>
      <c r="I23" s="92">
        <v>44.835099999999997</v>
      </c>
      <c r="J23" s="92">
        <v>44.26</v>
      </c>
      <c r="K23" s="92">
        <v>44.26</v>
      </c>
      <c r="L23" s="91">
        <f t="shared" si="1"/>
        <v>33249.027237354087</v>
      </c>
      <c r="M23" s="91">
        <f t="shared" si="4"/>
        <v>31821.662468513852</v>
      </c>
      <c r="N23" s="91">
        <f t="shared" si="2"/>
        <v>28762.573774698485</v>
      </c>
      <c r="O23" s="91">
        <f t="shared" si="3"/>
        <v>30273.597811217511</v>
      </c>
      <c r="P23" s="91">
        <f t="shared" si="3"/>
        <v>30149.863760217984</v>
      </c>
      <c r="Q23" s="111"/>
      <c r="R23" s="111"/>
    </row>
    <row r="24" spans="1:18" ht="28.5" customHeight="1" x14ac:dyDescent="0.2">
      <c r="A24" s="197" t="s">
        <v>15</v>
      </c>
      <c r="B24" s="78">
        <v>4.37</v>
      </c>
      <c r="C24" s="78">
        <v>4.42</v>
      </c>
      <c r="D24" s="92">
        <v>4.43</v>
      </c>
      <c r="E24" s="92">
        <v>4.4400000000000004</v>
      </c>
      <c r="F24" s="92">
        <v>4.45</v>
      </c>
      <c r="G24" s="78">
        <v>190.2</v>
      </c>
      <c r="H24" s="78">
        <v>192.39</v>
      </c>
      <c r="I24" s="92">
        <v>192.74929999999998</v>
      </c>
      <c r="J24" s="92">
        <v>193.17996000000002</v>
      </c>
      <c r="K24" s="92">
        <v>193.61949999999999</v>
      </c>
      <c r="L24" s="91">
        <f t="shared" si="1"/>
        <v>43524.027459954232</v>
      </c>
      <c r="M24" s="91">
        <f t="shared" si="4"/>
        <v>43527.149321266967</v>
      </c>
      <c r="N24" s="91">
        <f t="shared" si="2"/>
        <v>43510</v>
      </c>
      <c r="O24" s="91">
        <f t="shared" si="3"/>
        <v>43509</v>
      </c>
      <c r="P24" s="91">
        <f t="shared" si="3"/>
        <v>43510</v>
      </c>
      <c r="Q24" s="111"/>
      <c r="R24" s="111"/>
    </row>
    <row r="25" spans="1:18" ht="28.5" customHeight="1" x14ac:dyDescent="0.2">
      <c r="A25" s="197" t="s">
        <v>101</v>
      </c>
      <c r="B25" s="78">
        <v>8.9600000000000009</v>
      </c>
      <c r="C25" s="78">
        <v>5.49</v>
      </c>
      <c r="D25" s="92">
        <v>3.71</v>
      </c>
      <c r="E25" s="92">
        <v>6.78</v>
      </c>
      <c r="F25" s="92">
        <v>8.9499999999999993</v>
      </c>
      <c r="G25" s="78">
        <v>577.16</v>
      </c>
      <c r="H25" s="78">
        <v>344.3</v>
      </c>
      <c r="I25" s="92">
        <v>240.05184</v>
      </c>
      <c r="J25" s="92">
        <v>417.79716000000002</v>
      </c>
      <c r="K25" s="92">
        <v>504.98584999999997</v>
      </c>
      <c r="L25" s="91">
        <f t="shared" si="1"/>
        <v>64415.178571428558</v>
      </c>
      <c r="M25" s="91">
        <f t="shared" si="4"/>
        <v>62714.025500910742</v>
      </c>
      <c r="N25" s="91">
        <f t="shared" si="2"/>
        <v>64703.999999999993</v>
      </c>
      <c r="O25" s="91">
        <f t="shared" si="3"/>
        <v>61622</v>
      </c>
      <c r="P25" s="91">
        <f t="shared" si="3"/>
        <v>56423</v>
      </c>
      <c r="Q25" s="111"/>
      <c r="R25" s="111"/>
    </row>
    <row r="26" spans="1:18" ht="28.5" customHeight="1" x14ac:dyDescent="0.2">
      <c r="A26" s="197" t="s">
        <v>17</v>
      </c>
      <c r="B26" s="78">
        <v>90</v>
      </c>
      <c r="C26" s="78">
        <v>88</v>
      </c>
      <c r="D26" s="92">
        <v>96</v>
      </c>
      <c r="E26" s="92">
        <v>95</v>
      </c>
      <c r="F26" s="92">
        <v>91</v>
      </c>
      <c r="G26" s="78">
        <v>6607</v>
      </c>
      <c r="H26" s="78">
        <v>7152</v>
      </c>
      <c r="I26" s="92">
        <v>8023.68</v>
      </c>
      <c r="J26" s="92">
        <v>7773.66</v>
      </c>
      <c r="K26" s="92">
        <v>7302.0219999999999</v>
      </c>
      <c r="L26" s="91">
        <f t="shared" si="1"/>
        <v>73411.111111111109</v>
      </c>
      <c r="M26" s="91">
        <f t="shared" si="4"/>
        <v>81272.727272727265</v>
      </c>
      <c r="N26" s="91">
        <f t="shared" si="2"/>
        <v>83580</v>
      </c>
      <c r="O26" s="91">
        <f t="shared" si="3"/>
        <v>81828</v>
      </c>
      <c r="P26" s="91">
        <f t="shared" si="3"/>
        <v>80242</v>
      </c>
      <c r="Q26" s="111"/>
      <c r="R26" s="111"/>
    </row>
    <row r="27" spans="1:18" ht="28.5" customHeight="1" x14ac:dyDescent="0.2">
      <c r="A27" s="197" t="s">
        <v>18</v>
      </c>
      <c r="B27" s="78">
        <v>6.141</v>
      </c>
      <c r="C27" s="78">
        <v>6.8540000000000001</v>
      </c>
      <c r="D27" s="92">
        <v>5.4269999999999996</v>
      </c>
      <c r="E27" s="92">
        <v>5.3680000000000003</v>
      </c>
      <c r="F27" s="92">
        <v>4.4660000000000002</v>
      </c>
      <c r="G27" s="78">
        <v>531.26700000000005</v>
      </c>
      <c r="H27" s="78">
        <v>488.65199999999999</v>
      </c>
      <c r="I27" s="92">
        <v>381.86542799999995</v>
      </c>
      <c r="J27" s="92">
        <v>447.94886400000001</v>
      </c>
      <c r="K27" s="92">
        <v>326.18770800000004</v>
      </c>
      <c r="L27" s="91">
        <f t="shared" si="1"/>
        <v>86511.480214948722</v>
      </c>
      <c r="M27" s="91">
        <f t="shared" si="4"/>
        <v>71294.426612197261</v>
      </c>
      <c r="N27" s="91">
        <f t="shared" si="2"/>
        <v>70363.999999999985</v>
      </c>
      <c r="O27" s="91">
        <f t="shared" si="3"/>
        <v>83448</v>
      </c>
      <c r="P27" s="91">
        <f t="shared" si="3"/>
        <v>73038.000000000015</v>
      </c>
      <c r="Q27" s="111"/>
      <c r="R27" s="111"/>
    </row>
    <row r="28" spans="1:18" ht="28.5" customHeight="1" x14ac:dyDescent="0.2">
      <c r="A28" s="197" t="s">
        <v>19</v>
      </c>
      <c r="B28" s="89">
        <v>252.27</v>
      </c>
      <c r="C28" s="89">
        <v>218.26</v>
      </c>
      <c r="D28" s="92">
        <v>171.86</v>
      </c>
      <c r="E28" s="92">
        <v>166.41</v>
      </c>
      <c r="F28" s="92">
        <v>131.19999999999999</v>
      </c>
      <c r="G28" s="89">
        <v>25494.09</v>
      </c>
      <c r="H28" s="89">
        <v>18987.560000000001</v>
      </c>
      <c r="I28" s="92">
        <v>17153.98</v>
      </c>
      <c r="J28" s="92">
        <v>17140.23</v>
      </c>
      <c r="K28" s="92">
        <v>14119.087999999998</v>
      </c>
      <c r="L28" s="91">
        <f t="shared" si="1"/>
        <v>101058.74658104412</v>
      </c>
      <c r="M28" s="91">
        <f t="shared" si="4"/>
        <v>86995.143406945863</v>
      </c>
      <c r="N28" s="91">
        <f t="shared" si="2"/>
        <v>99813.685558012323</v>
      </c>
      <c r="O28" s="91">
        <f t="shared" si="3"/>
        <v>103000</v>
      </c>
      <c r="P28" s="91">
        <f t="shared" si="3"/>
        <v>107615</v>
      </c>
      <c r="Q28" s="111"/>
      <c r="R28" s="111"/>
    </row>
    <row r="29" spans="1:18" ht="28.5" customHeight="1" x14ac:dyDescent="0.2">
      <c r="A29" s="197" t="s">
        <v>103</v>
      </c>
      <c r="B29" s="78">
        <v>35</v>
      </c>
      <c r="C29" s="78">
        <v>29</v>
      </c>
      <c r="D29" s="92">
        <v>35</v>
      </c>
      <c r="E29" s="92">
        <v>40</v>
      </c>
      <c r="F29" s="92">
        <v>26</v>
      </c>
      <c r="G29" s="78">
        <v>2405</v>
      </c>
      <c r="H29" s="78">
        <v>2061</v>
      </c>
      <c r="I29" s="92">
        <v>2604.4549999999999</v>
      </c>
      <c r="J29" s="92">
        <v>3183.6</v>
      </c>
      <c r="K29" s="92">
        <v>2012.8679999999999</v>
      </c>
      <c r="L29" s="91">
        <f t="shared" si="1"/>
        <v>68714.28571428571</v>
      </c>
      <c r="M29" s="91">
        <f t="shared" si="4"/>
        <v>71068.965517241377</v>
      </c>
      <c r="N29" s="91">
        <f t="shared" si="2"/>
        <v>74413</v>
      </c>
      <c r="O29" s="91">
        <f t="shared" si="3"/>
        <v>79590</v>
      </c>
      <c r="P29" s="91">
        <f t="shared" si="3"/>
        <v>77417.999999999985</v>
      </c>
      <c r="Q29" s="111"/>
      <c r="R29" s="111"/>
    </row>
    <row r="30" spans="1:18" ht="28.5" customHeight="1" x14ac:dyDescent="0.2">
      <c r="A30" s="197" t="s">
        <v>98</v>
      </c>
      <c r="B30" s="78">
        <v>0.79300000000000004</v>
      </c>
      <c r="C30" s="78">
        <v>0.82199999999999995</v>
      </c>
      <c r="D30" s="92">
        <v>0.80600000000000005</v>
      </c>
      <c r="E30" s="92">
        <v>0.66200000000000003</v>
      </c>
      <c r="F30" s="92">
        <v>0.68700000000000006</v>
      </c>
      <c r="G30" s="78">
        <v>40.491999999999997</v>
      </c>
      <c r="H30" s="78">
        <v>44.1</v>
      </c>
      <c r="I30" s="92">
        <v>42.489096000000004</v>
      </c>
      <c r="J30" s="92">
        <v>35.914162000000005</v>
      </c>
      <c r="K30" s="92">
        <v>36.369999999999997</v>
      </c>
      <c r="L30" s="91">
        <f t="shared" si="1"/>
        <v>51061.79066834804</v>
      </c>
      <c r="M30" s="91">
        <f t="shared" si="4"/>
        <v>53649.635036496358</v>
      </c>
      <c r="N30" s="91">
        <f t="shared" si="2"/>
        <v>52716</v>
      </c>
      <c r="O30" s="91">
        <f t="shared" si="3"/>
        <v>54251.000000000007</v>
      </c>
      <c r="P30" s="91">
        <f t="shared" si="3"/>
        <v>52940.320232896644</v>
      </c>
      <c r="Q30" s="111"/>
      <c r="R30" s="111"/>
    </row>
    <row r="31" spans="1:18" ht="28.5" customHeight="1" x14ac:dyDescent="0.2">
      <c r="A31" s="197" t="s">
        <v>22</v>
      </c>
      <c r="B31" s="78">
        <v>2169</v>
      </c>
      <c r="C31" s="78">
        <v>2160</v>
      </c>
      <c r="D31" s="92">
        <v>2234</v>
      </c>
      <c r="E31" s="92">
        <v>2224</v>
      </c>
      <c r="F31" s="92">
        <v>2208</v>
      </c>
      <c r="G31" s="78">
        <v>145385</v>
      </c>
      <c r="H31" s="78">
        <v>140169.204</v>
      </c>
      <c r="I31" s="92">
        <v>177033.33</v>
      </c>
      <c r="J31" s="92">
        <v>179714.76800000001</v>
      </c>
      <c r="K31" s="92">
        <v>179539.10399999999</v>
      </c>
      <c r="L31" s="91">
        <f t="shared" si="1"/>
        <v>67028.584601198716</v>
      </c>
      <c r="M31" s="91">
        <f t="shared" si="4"/>
        <v>64893.150000000009</v>
      </c>
      <c r="N31" s="91">
        <f t="shared" si="2"/>
        <v>79244.999999999985</v>
      </c>
      <c r="O31" s="91">
        <f t="shared" si="3"/>
        <v>80807</v>
      </c>
      <c r="P31" s="91">
        <f t="shared" si="3"/>
        <v>81313</v>
      </c>
      <c r="Q31" s="111"/>
      <c r="R31" s="111"/>
    </row>
    <row r="32" spans="1:18" ht="28.5" customHeight="1" x14ac:dyDescent="0.2">
      <c r="A32" s="197" t="s">
        <v>84</v>
      </c>
      <c r="B32" s="78">
        <v>96.85</v>
      </c>
      <c r="C32" s="78">
        <v>93</v>
      </c>
      <c r="D32" s="92">
        <v>90</v>
      </c>
      <c r="E32" s="92">
        <v>91</v>
      </c>
      <c r="F32" s="92">
        <v>92</v>
      </c>
      <c r="G32" s="78">
        <v>5885.76</v>
      </c>
      <c r="H32" s="78">
        <v>6477</v>
      </c>
      <c r="I32" s="92">
        <v>6271.38</v>
      </c>
      <c r="J32" s="92">
        <v>6329.3230000000003</v>
      </c>
      <c r="K32" s="92">
        <v>6937.72</v>
      </c>
      <c r="L32" s="161">
        <f t="shared" si="1"/>
        <v>60771.915332989163</v>
      </c>
      <c r="M32" s="161">
        <f t="shared" si="4"/>
        <v>69645.161290322576</v>
      </c>
      <c r="N32" s="161">
        <f t="shared" si="2"/>
        <v>69682</v>
      </c>
      <c r="O32" s="161">
        <f t="shared" si="3"/>
        <v>69553</v>
      </c>
      <c r="P32" s="161">
        <f t="shared" si="3"/>
        <v>75410</v>
      </c>
      <c r="Q32" s="111"/>
      <c r="R32" s="111"/>
    </row>
    <row r="33" spans="1:18" ht="28.5" customHeight="1" x14ac:dyDescent="0.2">
      <c r="A33" s="197" t="s">
        <v>23</v>
      </c>
      <c r="B33" s="78">
        <v>17.402999999999999</v>
      </c>
      <c r="C33" s="78">
        <v>20.995000000000001</v>
      </c>
      <c r="D33" s="92">
        <v>19.16</v>
      </c>
      <c r="E33" s="92">
        <v>15.805999999999999</v>
      </c>
      <c r="F33" s="92">
        <v>19.177</v>
      </c>
      <c r="G33" s="78">
        <v>2075</v>
      </c>
      <c r="H33" s="78">
        <v>1549.7470000000001</v>
      </c>
      <c r="I33" s="92">
        <v>1437</v>
      </c>
      <c r="J33" s="92">
        <v>1335.3699099999999</v>
      </c>
      <c r="K33" s="92">
        <v>1527.5822889999999</v>
      </c>
      <c r="L33" s="91">
        <f t="shared" si="1"/>
        <v>119232.31626731023</v>
      </c>
      <c r="M33" s="91">
        <f t="shared" si="4"/>
        <v>73815.05120266731</v>
      </c>
      <c r="N33" s="91">
        <f t="shared" si="2"/>
        <v>75000</v>
      </c>
      <c r="O33" s="91">
        <f t="shared" si="3"/>
        <v>84485</v>
      </c>
      <c r="P33" s="91">
        <f t="shared" si="3"/>
        <v>79657</v>
      </c>
      <c r="Q33" s="111"/>
      <c r="R33" s="111"/>
    </row>
    <row r="34" spans="1:18" ht="30" customHeight="1" x14ac:dyDescent="0.2">
      <c r="A34" s="197" t="s">
        <v>99</v>
      </c>
      <c r="B34" s="78">
        <v>3.3300000000000003E-2</v>
      </c>
      <c r="C34" s="78">
        <v>6.7000000000000004E-2</v>
      </c>
      <c r="D34" s="92">
        <v>0.1105</v>
      </c>
      <c r="E34" s="92">
        <v>5.8189999999999999E-2</v>
      </c>
      <c r="F34" s="92">
        <v>8.8400000000000006E-2</v>
      </c>
      <c r="G34" s="78">
        <v>0.70499999999999996</v>
      </c>
      <c r="H34" s="78">
        <v>0.85670000000000002</v>
      </c>
      <c r="I34" s="92">
        <v>1.5435744999999998</v>
      </c>
      <c r="J34" s="92">
        <v>3.2819159999999998</v>
      </c>
      <c r="K34" s="92">
        <v>8.2959864000000003</v>
      </c>
      <c r="L34" s="91">
        <f t="shared" si="1"/>
        <v>21171.171171171169</v>
      </c>
      <c r="M34" s="91">
        <f t="shared" si="4"/>
        <v>12786.567164179103</v>
      </c>
      <c r="N34" s="91">
        <f t="shared" si="2"/>
        <v>13968.999999999998</v>
      </c>
      <c r="O34" s="91">
        <f t="shared" si="3"/>
        <v>56400</v>
      </c>
      <c r="P34" s="91">
        <f t="shared" si="3"/>
        <v>93846</v>
      </c>
      <c r="Q34" s="111"/>
      <c r="R34" s="111"/>
    </row>
    <row r="35" spans="1:18" ht="30" hidden="1" customHeight="1" x14ac:dyDescent="0.2">
      <c r="A35" s="197" t="s">
        <v>135</v>
      </c>
      <c r="B35" s="78"/>
      <c r="C35" s="78"/>
      <c r="D35" s="92">
        <v>0.61</v>
      </c>
      <c r="E35" s="92"/>
      <c r="F35" s="92"/>
      <c r="G35" s="78"/>
      <c r="H35" s="78"/>
      <c r="I35" s="92">
        <v>0</v>
      </c>
      <c r="J35" s="92">
        <v>0</v>
      </c>
      <c r="K35" s="92">
        <v>0</v>
      </c>
      <c r="L35" s="91"/>
      <c r="M35" s="91"/>
      <c r="N35" s="91">
        <f t="shared" si="2"/>
        <v>0</v>
      </c>
      <c r="O35" s="91" t="e">
        <f t="shared" si="3"/>
        <v>#DIV/0!</v>
      </c>
      <c r="P35" s="91" t="e">
        <f t="shared" si="3"/>
        <v>#DIV/0!</v>
      </c>
      <c r="Q35" s="111"/>
      <c r="R35" s="111"/>
    </row>
    <row r="36" spans="1:18" ht="30" customHeight="1" x14ac:dyDescent="0.2">
      <c r="A36" s="116" t="s">
        <v>53</v>
      </c>
      <c r="B36" s="78">
        <v>0.19805</v>
      </c>
      <c r="C36" s="78">
        <v>0.17</v>
      </c>
      <c r="D36" s="92">
        <v>0.17</v>
      </c>
      <c r="E36" s="92">
        <v>0.37</v>
      </c>
      <c r="F36" s="92">
        <v>0.15</v>
      </c>
      <c r="G36" s="78">
        <v>1.5844</v>
      </c>
      <c r="H36" s="78">
        <v>13.6</v>
      </c>
      <c r="I36" s="92">
        <v>13.600000000000001</v>
      </c>
      <c r="J36" s="92">
        <v>26.69624</v>
      </c>
      <c r="K36" s="92">
        <v>12</v>
      </c>
      <c r="L36" s="91">
        <f t="shared" ref="L36:M38" si="5">G36/B36*1000</f>
        <v>8000</v>
      </c>
      <c r="M36" s="91">
        <f t="shared" si="5"/>
        <v>79999.999999999985</v>
      </c>
      <c r="N36" s="91">
        <f t="shared" si="2"/>
        <v>80000</v>
      </c>
      <c r="O36" s="91">
        <f t="shared" si="3"/>
        <v>72152</v>
      </c>
      <c r="P36" s="91">
        <f t="shared" si="3"/>
        <v>80000</v>
      </c>
      <c r="Q36" s="111"/>
      <c r="R36" s="111"/>
    </row>
    <row r="37" spans="1:18" ht="30" customHeight="1" x14ac:dyDescent="0.2">
      <c r="A37" s="197" t="s">
        <v>137</v>
      </c>
      <c r="B37" s="78">
        <v>1.821</v>
      </c>
      <c r="C37" s="63">
        <v>0</v>
      </c>
      <c r="D37" s="92">
        <v>1.4450000000000001</v>
      </c>
      <c r="E37" s="92">
        <v>1.444</v>
      </c>
      <c r="F37" s="198">
        <v>1.3080000000000001</v>
      </c>
      <c r="G37" s="78">
        <v>213.96799999999999</v>
      </c>
      <c r="H37" s="63">
        <v>0</v>
      </c>
      <c r="I37" s="92">
        <v>180.625</v>
      </c>
      <c r="J37" s="92">
        <v>187.72</v>
      </c>
      <c r="K37" s="198">
        <v>183.12</v>
      </c>
      <c r="L37" s="91">
        <f t="shared" si="5"/>
        <v>117500.27457440966</v>
      </c>
      <c r="M37" s="91" t="e">
        <f t="shared" si="5"/>
        <v>#DIV/0!</v>
      </c>
      <c r="N37" s="91">
        <f t="shared" si="2"/>
        <v>125000</v>
      </c>
      <c r="O37" s="91">
        <f t="shared" si="3"/>
        <v>130000</v>
      </c>
      <c r="P37" s="91">
        <f t="shared" si="3"/>
        <v>140000</v>
      </c>
      <c r="Q37" s="111"/>
      <c r="R37" s="111"/>
    </row>
    <row r="38" spans="1:18" s="67" customFormat="1" ht="28.5" customHeight="1" x14ac:dyDescent="0.2">
      <c r="A38" s="197" t="s">
        <v>44</v>
      </c>
      <c r="B38" s="117">
        <f t="shared" ref="B38" si="6">SUM(B6:B37)</f>
        <v>4927.1233500000008</v>
      </c>
      <c r="C38" s="117">
        <v>4435.6900000000005</v>
      </c>
      <c r="D38" s="117">
        <f>SUM(D6:D37)</f>
        <v>4737.0632999999989</v>
      </c>
      <c r="E38" s="117">
        <f>SUM(E6:E37)</f>
        <v>5061.091089999999</v>
      </c>
      <c r="F38" s="117">
        <f>SUM(F6:F37)</f>
        <v>4602.6757999999991</v>
      </c>
      <c r="G38" s="117">
        <f>SUM(G6:G37)</f>
        <v>348448.39547700004</v>
      </c>
      <c r="H38" s="117">
        <v>306069</v>
      </c>
      <c r="I38" s="117">
        <f>SUM(I6:I37)</f>
        <v>379904.8516995</v>
      </c>
      <c r="J38" s="117">
        <f>SUM(J6:J37)</f>
        <v>405416.18242900004</v>
      </c>
      <c r="K38" s="117">
        <f>SUM(K6:K37)</f>
        <v>370500.30408439989</v>
      </c>
      <c r="L38" s="118">
        <f t="shared" si="5"/>
        <v>70720.453036151419</v>
      </c>
      <c r="M38" s="118">
        <f t="shared" si="5"/>
        <v>69001.440587597419</v>
      </c>
      <c r="N38" s="118">
        <f t="shared" si="2"/>
        <v>80198.390361281447</v>
      </c>
      <c r="O38" s="118">
        <f t="shared" si="3"/>
        <v>80104.502214956214</v>
      </c>
      <c r="P38" s="118">
        <f t="shared" si="3"/>
        <v>80496.719774266952</v>
      </c>
      <c r="Q38" s="112"/>
      <c r="R38" s="112"/>
    </row>
    <row r="39" spans="1:18" x14ac:dyDescent="0.2">
      <c r="A39" s="38"/>
    </row>
    <row r="40" spans="1:18" x14ac:dyDescent="0.2">
      <c r="A40" s="13"/>
    </row>
    <row r="41" spans="1:18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1:18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</row>
  </sheetData>
  <mergeCells count="5">
    <mergeCell ref="A3:A4"/>
    <mergeCell ref="A2:M2"/>
    <mergeCell ref="B3:F3"/>
    <mergeCell ref="L3:P3"/>
    <mergeCell ref="G3:K3"/>
  </mergeCells>
  <phoneticPr fontId="9" type="noConversion"/>
  <printOptions horizontalCentered="1" verticalCentered="1"/>
  <pageMargins left="0" right="0" top="0.11811023622047245" bottom="0.23622047244094491" header="0.11811023622047245" footer="0.51181102362204722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3:S36"/>
  <sheetViews>
    <sheetView view="pageBreakPreview" topLeftCell="B1" zoomScale="60" zoomScaleNormal="75" workbookViewId="0">
      <selection activeCell="K35" sqref="B35:K36"/>
    </sheetView>
  </sheetViews>
  <sheetFormatPr defaultRowHeight="18" x14ac:dyDescent="0.2"/>
  <cols>
    <col min="1" max="1" width="24.7109375" style="22" customWidth="1"/>
    <col min="2" max="11" width="15.42578125" style="22" customWidth="1"/>
    <col min="12" max="19" width="12.5703125" style="22" customWidth="1"/>
    <col min="20" max="16384" width="9.140625" style="22"/>
  </cols>
  <sheetData>
    <row r="3" spans="1:19" ht="27.75" customHeight="1" x14ac:dyDescent="0.2">
      <c r="A3" s="236" t="s">
        <v>123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9" ht="3" hidden="1" customHeight="1" x14ac:dyDescent="0.2">
      <c r="A4" s="23"/>
    </row>
    <row r="5" spans="1:19" ht="48" customHeight="1" x14ac:dyDescent="0.2">
      <c r="A5" s="234" t="s">
        <v>140</v>
      </c>
      <c r="B5" s="213" t="s">
        <v>80</v>
      </c>
      <c r="C5" s="213"/>
      <c r="D5" s="213"/>
      <c r="E5" s="213"/>
      <c r="F5" s="213"/>
      <c r="G5" s="237" t="s">
        <v>91</v>
      </c>
      <c r="H5" s="237"/>
      <c r="I5" s="237"/>
      <c r="J5" s="237"/>
      <c r="K5" s="237"/>
      <c r="L5" s="213" t="s">
        <v>78</v>
      </c>
      <c r="M5" s="213"/>
      <c r="N5" s="213"/>
      <c r="O5" s="213"/>
      <c r="P5" s="213"/>
      <c r="Q5" s="108"/>
      <c r="R5" s="108"/>
      <c r="S5" s="108"/>
    </row>
    <row r="6" spans="1:19" s="24" customFormat="1" ht="33.75" customHeight="1" x14ac:dyDescent="0.2">
      <c r="A6" s="234"/>
      <c r="B6" s="90" t="s">
        <v>107</v>
      </c>
      <c r="C6" s="90" t="s">
        <v>108</v>
      </c>
      <c r="D6" s="180" t="s">
        <v>111</v>
      </c>
      <c r="E6" s="180" t="s">
        <v>138</v>
      </c>
      <c r="F6" s="180" t="s">
        <v>141</v>
      </c>
      <c r="G6" s="90" t="s">
        <v>107</v>
      </c>
      <c r="H6" s="90" t="s">
        <v>108</v>
      </c>
      <c r="I6" s="180" t="s">
        <v>111</v>
      </c>
      <c r="J6" s="180" t="s">
        <v>138</v>
      </c>
      <c r="K6" s="180" t="s">
        <v>141</v>
      </c>
      <c r="L6" s="90" t="s">
        <v>107</v>
      </c>
      <c r="M6" s="90" t="s">
        <v>108</v>
      </c>
      <c r="N6" s="180" t="s">
        <v>111</v>
      </c>
      <c r="O6" s="180" t="s">
        <v>138</v>
      </c>
      <c r="P6" s="180" t="s">
        <v>141</v>
      </c>
      <c r="Q6" s="149"/>
      <c r="R6" s="149"/>
      <c r="S6" s="149"/>
    </row>
    <row r="7" spans="1:19" ht="28.5" customHeight="1" x14ac:dyDescent="0.2">
      <c r="A7" s="119" t="s">
        <v>1</v>
      </c>
      <c r="B7" s="78">
        <v>666</v>
      </c>
      <c r="C7" s="78">
        <v>472</v>
      </c>
      <c r="D7" s="120">
        <v>646</v>
      </c>
      <c r="E7" s="120">
        <v>620</v>
      </c>
      <c r="F7" s="120">
        <v>657</v>
      </c>
      <c r="G7" s="78">
        <v>1888</v>
      </c>
      <c r="H7" s="78">
        <v>1564</v>
      </c>
      <c r="I7" s="120">
        <v>2087</v>
      </c>
      <c r="J7" s="120">
        <v>1491</v>
      </c>
      <c r="K7" s="120">
        <v>2508</v>
      </c>
      <c r="L7" s="91">
        <f t="shared" ref="L7:L30" si="0">G7*170/B7</f>
        <v>481.92192192192192</v>
      </c>
      <c r="M7" s="91">
        <f t="shared" ref="M7:M30" si="1">H7*170/C7</f>
        <v>563.30508474576266</v>
      </c>
      <c r="N7" s="91">
        <f t="shared" ref="N7:N30" si="2">I7*170/D7</f>
        <v>549.21052631578948</v>
      </c>
      <c r="O7" s="91">
        <f t="shared" ref="O7:P30" si="3">J7*170/E7</f>
        <v>408.82258064516128</v>
      </c>
      <c r="P7" s="91">
        <f t="shared" si="3"/>
        <v>648.94977168949777</v>
      </c>
      <c r="Q7" s="111"/>
      <c r="R7" s="111"/>
      <c r="S7" s="111"/>
    </row>
    <row r="8" spans="1:19" ht="28.5" hidden="1" customHeight="1" x14ac:dyDescent="0.2">
      <c r="A8" s="119" t="s">
        <v>28</v>
      </c>
      <c r="B8" s="92"/>
      <c r="C8" s="92"/>
      <c r="D8" s="120"/>
      <c r="E8" s="120"/>
      <c r="F8" s="120"/>
      <c r="G8" s="92"/>
      <c r="H8" s="92"/>
      <c r="I8" s="120">
        <v>0</v>
      </c>
      <c r="J8" s="120"/>
      <c r="K8" s="120"/>
      <c r="L8" s="91" t="e">
        <f t="shared" si="0"/>
        <v>#DIV/0!</v>
      </c>
      <c r="M8" s="91" t="e">
        <f t="shared" si="1"/>
        <v>#DIV/0!</v>
      </c>
      <c r="N8" s="91" t="e">
        <f t="shared" si="2"/>
        <v>#DIV/0!</v>
      </c>
      <c r="O8" s="91" t="e">
        <f t="shared" si="3"/>
        <v>#DIV/0!</v>
      </c>
      <c r="P8" s="91" t="e">
        <f t="shared" si="3"/>
        <v>#DIV/0!</v>
      </c>
      <c r="Q8" s="111"/>
      <c r="R8" s="111"/>
      <c r="S8" s="111"/>
    </row>
    <row r="9" spans="1:19" ht="28.5" hidden="1" customHeight="1" x14ac:dyDescent="0.2">
      <c r="A9" s="119" t="s">
        <v>6</v>
      </c>
      <c r="B9" s="92"/>
      <c r="C9" s="92"/>
      <c r="D9" s="120"/>
      <c r="E9" s="120"/>
      <c r="F9" s="120"/>
      <c r="G9" s="92"/>
      <c r="H9" s="92"/>
      <c r="I9" s="120"/>
      <c r="J9" s="120"/>
      <c r="K9" s="120"/>
      <c r="L9" s="91" t="e">
        <f t="shared" si="0"/>
        <v>#DIV/0!</v>
      </c>
      <c r="M9" s="91" t="e">
        <f t="shared" si="1"/>
        <v>#DIV/0!</v>
      </c>
      <c r="N9" s="91" t="e">
        <f t="shared" si="2"/>
        <v>#DIV/0!</v>
      </c>
      <c r="O9" s="91" t="e">
        <f t="shared" si="3"/>
        <v>#DIV/0!</v>
      </c>
      <c r="P9" s="91" t="e">
        <f t="shared" si="3"/>
        <v>#DIV/0!</v>
      </c>
      <c r="Q9" s="111"/>
      <c r="R9" s="111"/>
      <c r="S9" s="111"/>
    </row>
    <row r="10" spans="1:19" ht="28.5" customHeight="1" x14ac:dyDescent="0.2">
      <c r="A10" s="119" t="s">
        <v>8</v>
      </c>
      <c r="B10" s="78">
        <v>2722</v>
      </c>
      <c r="C10" s="78">
        <v>2382</v>
      </c>
      <c r="D10" s="120">
        <v>2624</v>
      </c>
      <c r="E10" s="120">
        <v>2660</v>
      </c>
      <c r="F10" s="120">
        <v>2655</v>
      </c>
      <c r="G10" s="78">
        <v>9400</v>
      </c>
      <c r="H10" s="78">
        <v>8575</v>
      </c>
      <c r="I10" s="120">
        <v>10187</v>
      </c>
      <c r="J10" s="120">
        <v>6279</v>
      </c>
      <c r="K10" s="120">
        <v>8617</v>
      </c>
      <c r="L10" s="91">
        <f t="shared" si="0"/>
        <v>587.06833210874356</v>
      </c>
      <c r="M10" s="91">
        <f t="shared" si="1"/>
        <v>611.98572628043655</v>
      </c>
      <c r="N10" s="91">
        <f t="shared" si="2"/>
        <v>659.98094512195121</v>
      </c>
      <c r="O10" s="91">
        <f t="shared" si="3"/>
        <v>401.28947368421052</v>
      </c>
      <c r="P10" s="91">
        <f t="shared" si="3"/>
        <v>551.74764595103579</v>
      </c>
      <c r="Q10" s="111"/>
      <c r="R10" s="111"/>
      <c r="S10" s="111"/>
    </row>
    <row r="11" spans="1:19" ht="28.5" customHeight="1" x14ac:dyDescent="0.2">
      <c r="A11" s="119" t="s">
        <v>34</v>
      </c>
      <c r="B11" s="78">
        <v>615</v>
      </c>
      <c r="C11" s="78">
        <v>570</v>
      </c>
      <c r="D11" s="120">
        <v>665</v>
      </c>
      <c r="E11" s="120">
        <v>708</v>
      </c>
      <c r="F11" s="120">
        <v>723</v>
      </c>
      <c r="G11" s="78">
        <v>993</v>
      </c>
      <c r="H11" s="78">
        <v>2041</v>
      </c>
      <c r="I11" s="120">
        <v>1627</v>
      </c>
      <c r="J11" s="120">
        <v>2013</v>
      </c>
      <c r="K11" s="120">
        <v>2484</v>
      </c>
      <c r="L11" s="91">
        <f t="shared" si="0"/>
        <v>274.48780487804879</v>
      </c>
      <c r="M11" s="91">
        <f t="shared" si="1"/>
        <v>608.71929824561403</v>
      </c>
      <c r="N11" s="91">
        <f t="shared" si="2"/>
        <v>415.9248120300752</v>
      </c>
      <c r="O11" s="91">
        <f t="shared" si="3"/>
        <v>483.34745762711867</v>
      </c>
      <c r="P11" s="91">
        <f t="shared" si="3"/>
        <v>584.06639004149383</v>
      </c>
      <c r="Q11" s="111"/>
      <c r="R11" s="111"/>
      <c r="S11" s="111"/>
    </row>
    <row r="12" spans="1:19" ht="28.5" hidden="1" customHeight="1" x14ac:dyDescent="0.2">
      <c r="A12" s="119" t="s">
        <v>45</v>
      </c>
      <c r="B12" s="92"/>
      <c r="C12" s="92"/>
      <c r="D12" s="120"/>
      <c r="E12" s="120"/>
      <c r="F12" s="120"/>
      <c r="G12" s="92"/>
      <c r="H12" s="92"/>
      <c r="I12" s="120">
        <v>0</v>
      </c>
      <c r="J12" s="120"/>
      <c r="K12" s="120"/>
      <c r="L12" s="91" t="e">
        <f t="shared" si="0"/>
        <v>#DIV/0!</v>
      </c>
      <c r="M12" s="91" t="e">
        <f t="shared" si="1"/>
        <v>#DIV/0!</v>
      </c>
      <c r="N12" s="91" t="e">
        <f t="shared" si="2"/>
        <v>#DIV/0!</v>
      </c>
      <c r="O12" s="91" t="e">
        <f t="shared" si="3"/>
        <v>#DIV/0!</v>
      </c>
      <c r="P12" s="91" t="e">
        <f t="shared" si="3"/>
        <v>#DIV/0!</v>
      </c>
      <c r="Q12" s="111"/>
      <c r="R12" s="111"/>
      <c r="S12" s="111"/>
    </row>
    <row r="13" spans="1:19" ht="28.5" customHeight="1" x14ac:dyDescent="0.2">
      <c r="A13" s="119" t="s">
        <v>11</v>
      </c>
      <c r="B13" s="78">
        <f>599+42+1</f>
        <v>642</v>
      </c>
      <c r="C13" s="78">
        <v>510</v>
      </c>
      <c r="D13" s="120">
        <v>547</v>
      </c>
      <c r="E13" s="120">
        <v>718</v>
      </c>
      <c r="F13" s="120">
        <v>817</v>
      </c>
      <c r="G13" s="78">
        <v>2000</v>
      </c>
      <c r="H13" s="78">
        <v>1010</v>
      </c>
      <c r="I13" s="120">
        <v>1844</v>
      </c>
      <c r="J13" s="120">
        <v>1400</v>
      </c>
      <c r="K13" s="120">
        <v>2330</v>
      </c>
      <c r="L13" s="91">
        <f t="shared" si="0"/>
        <v>529.59501557632393</v>
      </c>
      <c r="M13" s="91">
        <f t="shared" si="1"/>
        <v>336.66666666666669</v>
      </c>
      <c r="N13" s="91">
        <f t="shared" si="2"/>
        <v>573.08957952468006</v>
      </c>
      <c r="O13" s="91">
        <f t="shared" si="3"/>
        <v>331.47632311977713</v>
      </c>
      <c r="P13" s="91">
        <f t="shared" si="3"/>
        <v>484.82252141982866</v>
      </c>
      <c r="Q13" s="111"/>
      <c r="R13" s="111"/>
      <c r="S13" s="111"/>
    </row>
    <row r="14" spans="1:19" ht="28.5" hidden="1" customHeight="1" x14ac:dyDescent="0.2">
      <c r="A14" s="119" t="s">
        <v>12</v>
      </c>
      <c r="B14" s="92"/>
      <c r="C14" s="92"/>
      <c r="D14" s="120"/>
      <c r="E14" s="120"/>
      <c r="F14" s="120"/>
      <c r="G14" s="92"/>
      <c r="H14" s="92"/>
      <c r="I14" s="120"/>
      <c r="J14" s="120"/>
      <c r="K14" s="120"/>
      <c r="L14" s="91" t="e">
        <f t="shared" si="0"/>
        <v>#DIV/0!</v>
      </c>
      <c r="M14" s="91" t="e">
        <f t="shared" si="1"/>
        <v>#DIV/0!</v>
      </c>
      <c r="N14" s="91" t="e">
        <f t="shared" si="2"/>
        <v>#DIV/0!</v>
      </c>
      <c r="O14" s="91" t="e">
        <f t="shared" si="3"/>
        <v>#DIV/0!</v>
      </c>
      <c r="P14" s="91" t="e">
        <f t="shared" si="3"/>
        <v>#DIV/0!</v>
      </c>
      <c r="Q14" s="111"/>
      <c r="R14" s="111"/>
      <c r="S14" s="111"/>
    </row>
    <row r="15" spans="1:19" ht="28.5" customHeight="1" x14ac:dyDescent="0.2">
      <c r="A15" s="119" t="s">
        <v>13</v>
      </c>
      <c r="B15" s="78">
        <v>563</v>
      </c>
      <c r="C15" s="78">
        <v>599</v>
      </c>
      <c r="D15" s="120">
        <v>603</v>
      </c>
      <c r="E15" s="120">
        <v>614</v>
      </c>
      <c r="F15" s="120">
        <v>650</v>
      </c>
      <c r="G15" s="78">
        <v>1800</v>
      </c>
      <c r="H15" s="78">
        <v>2050.6941176470586</v>
      </c>
      <c r="I15" s="120">
        <v>1620</v>
      </c>
      <c r="J15" s="120">
        <v>2329</v>
      </c>
      <c r="K15" s="120">
        <v>1646</v>
      </c>
      <c r="L15" s="91">
        <f t="shared" si="0"/>
        <v>543.51687388987568</v>
      </c>
      <c r="M15" s="91">
        <f t="shared" si="1"/>
        <v>581.99999999999989</v>
      </c>
      <c r="N15" s="91">
        <f t="shared" si="2"/>
        <v>456.71641791044777</v>
      </c>
      <c r="O15" s="91">
        <f t="shared" si="3"/>
        <v>644.8371335504886</v>
      </c>
      <c r="P15" s="91">
        <f t="shared" si="3"/>
        <v>430.49230769230769</v>
      </c>
      <c r="Q15" s="111"/>
      <c r="R15" s="111"/>
      <c r="S15" s="111"/>
    </row>
    <row r="16" spans="1:19" ht="28.5" customHeight="1" x14ac:dyDescent="0.2">
      <c r="A16" s="119" t="s">
        <v>14</v>
      </c>
      <c r="B16" s="78">
        <v>4207</v>
      </c>
      <c r="C16" s="78">
        <v>3800.4</v>
      </c>
      <c r="D16" s="120">
        <v>4351</v>
      </c>
      <c r="E16" s="120">
        <v>4218</v>
      </c>
      <c r="F16" s="120">
        <v>4491</v>
      </c>
      <c r="G16" s="78">
        <v>7500</v>
      </c>
      <c r="H16" s="78">
        <v>10618.764705882353</v>
      </c>
      <c r="I16" s="120">
        <v>6094</v>
      </c>
      <c r="J16" s="120">
        <v>6593</v>
      </c>
      <c r="K16" s="120">
        <v>6639</v>
      </c>
      <c r="L16" s="91">
        <f t="shared" si="0"/>
        <v>303.06631804135964</v>
      </c>
      <c r="M16" s="91">
        <f t="shared" si="1"/>
        <v>475</v>
      </c>
      <c r="N16" s="91">
        <f t="shared" si="2"/>
        <v>238.10158584233508</v>
      </c>
      <c r="O16" s="91">
        <f t="shared" si="3"/>
        <v>265.72072072072075</v>
      </c>
      <c r="P16" s="91">
        <f t="shared" si="3"/>
        <v>251.30928523714095</v>
      </c>
      <c r="Q16" s="111"/>
      <c r="R16" s="111"/>
      <c r="S16" s="111"/>
    </row>
    <row r="17" spans="1:19" ht="28.5" hidden="1" customHeight="1" x14ac:dyDescent="0.2">
      <c r="A17" s="119" t="s">
        <v>37</v>
      </c>
      <c r="B17" s="92" t="s">
        <v>92</v>
      </c>
      <c r="C17" s="92"/>
      <c r="D17" s="120"/>
      <c r="E17" s="120"/>
      <c r="F17" s="120"/>
      <c r="G17" s="78" t="s">
        <v>92</v>
      </c>
      <c r="H17" s="78"/>
      <c r="I17" s="120"/>
      <c r="J17" s="120"/>
      <c r="K17" s="120"/>
      <c r="L17" s="91" t="e">
        <f t="shared" si="0"/>
        <v>#VALUE!</v>
      </c>
      <c r="M17" s="91" t="e">
        <f t="shared" si="1"/>
        <v>#DIV/0!</v>
      </c>
      <c r="N17" s="91" t="e">
        <f t="shared" si="2"/>
        <v>#DIV/0!</v>
      </c>
      <c r="O17" s="91" t="e">
        <f t="shared" si="3"/>
        <v>#DIV/0!</v>
      </c>
      <c r="P17" s="91" t="e">
        <f t="shared" si="3"/>
        <v>#DIV/0!</v>
      </c>
      <c r="Q17" s="111"/>
      <c r="R17" s="111"/>
      <c r="S17" s="111"/>
    </row>
    <row r="18" spans="1:19" ht="28.5" hidden="1" customHeight="1" x14ac:dyDescent="0.2">
      <c r="A18" s="119" t="s">
        <v>38</v>
      </c>
      <c r="B18" s="92" t="s">
        <v>92</v>
      </c>
      <c r="C18" s="92"/>
      <c r="D18" s="120"/>
      <c r="E18" s="120"/>
      <c r="F18" s="120"/>
      <c r="G18" s="78" t="s">
        <v>92</v>
      </c>
      <c r="H18" s="78"/>
      <c r="I18" s="120"/>
      <c r="J18" s="120"/>
      <c r="K18" s="120"/>
      <c r="L18" s="91" t="e">
        <f t="shared" si="0"/>
        <v>#VALUE!</v>
      </c>
      <c r="M18" s="91" t="e">
        <f t="shared" si="1"/>
        <v>#DIV/0!</v>
      </c>
      <c r="N18" s="91" t="e">
        <f t="shared" si="2"/>
        <v>#DIV/0!</v>
      </c>
      <c r="O18" s="91" t="e">
        <f t="shared" si="3"/>
        <v>#DIV/0!</v>
      </c>
      <c r="P18" s="91" t="e">
        <f t="shared" si="3"/>
        <v>#DIV/0!</v>
      </c>
      <c r="Q18" s="111"/>
      <c r="R18" s="111"/>
      <c r="S18" s="111"/>
    </row>
    <row r="19" spans="1:19" ht="28.5" hidden="1" customHeight="1" x14ac:dyDescent="0.2">
      <c r="A19" s="119" t="s">
        <v>15</v>
      </c>
      <c r="B19" s="92" t="s">
        <v>92</v>
      </c>
      <c r="C19" s="92"/>
      <c r="D19" s="120"/>
      <c r="E19" s="120"/>
      <c r="F19" s="120"/>
      <c r="G19" s="92" t="s">
        <v>92</v>
      </c>
      <c r="H19" s="92"/>
      <c r="I19" s="120"/>
      <c r="J19" s="120"/>
      <c r="K19" s="120"/>
      <c r="L19" s="91" t="e">
        <f t="shared" si="0"/>
        <v>#VALUE!</v>
      </c>
      <c r="M19" s="91" t="e">
        <f t="shared" si="1"/>
        <v>#DIV/0!</v>
      </c>
      <c r="N19" s="91" t="e">
        <f t="shared" si="2"/>
        <v>#DIV/0!</v>
      </c>
      <c r="O19" s="91" t="e">
        <f t="shared" si="3"/>
        <v>#DIV/0!</v>
      </c>
      <c r="P19" s="91" t="e">
        <f t="shared" si="3"/>
        <v>#DIV/0!</v>
      </c>
      <c r="Q19" s="111"/>
      <c r="R19" s="111"/>
      <c r="S19" s="111"/>
    </row>
    <row r="20" spans="1:19" ht="28.5" customHeight="1" x14ac:dyDescent="0.2">
      <c r="A20" s="119" t="s">
        <v>101</v>
      </c>
      <c r="B20" s="78">
        <v>125</v>
      </c>
      <c r="C20" s="78">
        <v>136</v>
      </c>
      <c r="D20" s="120">
        <v>145</v>
      </c>
      <c r="E20" s="120">
        <v>157</v>
      </c>
      <c r="F20" s="120">
        <v>170</v>
      </c>
      <c r="G20" s="78">
        <v>300</v>
      </c>
      <c r="H20" s="78">
        <v>382</v>
      </c>
      <c r="I20" s="120">
        <v>408</v>
      </c>
      <c r="J20" s="120">
        <v>455</v>
      </c>
      <c r="K20" s="120">
        <v>579</v>
      </c>
      <c r="L20" s="91">
        <f t="shared" si="0"/>
        <v>408</v>
      </c>
      <c r="M20" s="91">
        <f t="shared" si="1"/>
        <v>477.5</v>
      </c>
      <c r="N20" s="91">
        <f t="shared" si="2"/>
        <v>478.34482758620692</v>
      </c>
      <c r="O20" s="91">
        <f t="shared" si="3"/>
        <v>492.67515923566879</v>
      </c>
      <c r="P20" s="91">
        <f t="shared" si="3"/>
        <v>579</v>
      </c>
      <c r="Q20" s="111"/>
      <c r="R20" s="111"/>
      <c r="S20" s="111"/>
    </row>
    <row r="21" spans="1:19" ht="28.5" customHeight="1" x14ac:dyDescent="0.2">
      <c r="A21" s="119" t="s">
        <v>17</v>
      </c>
      <c r="B21" s="78">
        <v>339</v>
      </c>
      <c r="C21" s="78">
        <v>285</v>
      </c>
      <c r="D21" s="120">
        <v>291</v>
      </c>
      <c r="E21" s="120">
        <v>268</v>
      </c>
      <c r="F21" s="120">
        <v>248</v>
      </c>
      <c r="G21" s="78">
        <v>750</v>
      </c>
      <c r="H21" s="78">
        <v>1031.0294117647059</v>
      </c>
      <c r="I21" s="120">
        <v>1283</v>
      </c>
      <c r="J21" s="120">
        <v>1222</v>
      </c>
      <c r="K21" s="120">
        <v>1206</v>
      </c>
      <c r="L21" s="91">
        <f t="shared" si="0"/>
        <v>376.10619469026551</v>
      </c>
      <c r="M21" s="91">
        <f t="shared" si="1"/>
        <v>615</v>
      </c>
      <c r="N21" s="91">
        <f t="shared" si="2"/>
        <v>749.5189003436426</v>
      </c>
      <c r="O21" s="91">
        <f t="shared" si="3"/>
        <v>775.14925373134326</v>
      </c>
      <c r="P21" s="91">
        <f t="shared" si="3"/>
        <v>826.69354838709683</v>
      </c>
      <c r="Q21" s="111"/>
      <c r="R21" s="111"/>
      <c r="S21" s="111"/>
    </row>
    <row r="22" spans="1:19" ht="28.5" customHeight="1" x14ac:dyDescent="0.2">
      <c r="A22" s="119" t="s">
        <v>18</v>
      </c>
      <c r="B22" s="78">
        <v>448</v>
      </c>
      <c r="C22" s="78">
        <v>471</v>
      </c>
      <c r="D22" s="120">
        <v>584</v>
      </c>
      <c r="E22" s="120">
        <v>629</v>
      </c>
      <c r="F22" s="120">
        <v>760</v>
      </c>
      <c r="G22" s="78">
        <v>1214</v>
      </c>
      <c r="H22" s="78">
        <v>1401.9176470588236</v>
      </c>
      <c r="I22" s="120">
        <v>1893</v>
      </c>
      <c r="J22" s="120">
        <v>2026</v>
      </c>
      <c r="K22" s="120">
        <v>2788</v>
      </c>
      <c r="L22" s="91">
        <f t="shared" si="0"/>
        <v>460.66964285714283</v>
      </c>
      <c r="M22" s="91">
        <f t="shared" si="1"/>
        <v>506</v>
      </c>
      <c r="N22" s="91">
        <f t="shared" si="2"/>
        <v>551.04452054794524</v>
      </c>
      <c r="O22" s="91">
        <f t="shared" si="3"/>
        <v>547.56756756756761</v>
      </c>
      <c r="P22" s="91">
        <f t="shared" si="3"/>
        <v>623.63157894736844</v>
      </c>
      <c r="Q22" s="111"/>
      <c r="R22" s="111"/>
      <c r="S22" s="111"/>
    </row>
    <row r="23" spans="1:19" ht="28.5" customHeight="1" x14ac:dyDescent="0.2">
      <c r="A23" s="119" t="s">
        <v>19</v>
      </c>
      <c r="B23" s="89">
        <v>142</v>
      </c>
      <c r="C23" s="89">
        <v>142</v>
      </c>
      <c r="D23" s="120">
        <v>183</v>
      </c>
      <c r="E23" s="120">
        <v>133</v>
      </c>
      <c r="F23" s="120">
        <v>170</v>
      </c>
      <c r="G23" s="89">
        <v>369</v>
      </c>
      <c r="H23" s="89">
        <v>359</v>
      </c>
      <c r="I23" s="120">
        <v>445</v>
      </c>
      <c r="J23" s="120">
        <v>269</v>
      </c>
      <c r="K23" s="120">
        <v>418</v>
      </c>
      <c r="L23" s="91">
        <f t="shared" si="0"/>
        <v>441.76056338028167</v>
      </c>
      <c r="M23" s="91">
        <f t="shared" si="1"/>
        <v>429.78873239436621</v>
      </c>
      <c r="N23" s="91">
        <f t="shared" si="2"/>
        <v>413.38797814207652</v>
      </c>
      <c r="O23" s="91">
        <f t="shared" si="3"/>
        <v>343.83458646616543</v>
      </c>
      <c r="P23" s="91">
        <f t="shared" si="3"/>
        <v>418</v>
      </c>
      <c r="Q23" s="111"/>
      <c r="R23" s="111"/>
      <c r="S23" s="111"/>
    </row>
    <row r="24" spans="1:19" ht="28.5" customHeight="1" x14ac:dyDescent="0.2">
      <c r="A24" s="119" t="s">
        <v>103</v>
      </c>
      <c r="B24" s="78">
        <v>1773</v>
      </c>
      <c r="C24" s="78">
        <v>1409</v>
      </c>
      <c r="D24" s="120">
        <v>1897</v>
      </c>
      <c r="E24" s="120">
        <v>1839</v>
      </c>
      <c r="F24" s="120">
        <v>2127</v>
      </c>
      <c r="G24" s="78">
        <v>3661</v>
      </c>
      <c r="H24" s="78">
        <v>3444</v>
      </c>
      <c r="I24" s="120">
        <v>5195</v>
      </c>
      <c r="J24" s="120">
        <v>3847</v>
      </c>
      <c r="K24" s="120">
        <v>6833</v>
      </c>
      <c r="L24" s="91">
        <f t="shared" si="0"/>
        <v>351.0265087422448</v>
      </c>
      <c r="M24" s="91">
        <f t="shared" si="1"/>
        <v>415.52874378992192</v>
      </c>
      <c r="N24" s="91">
        <f t="shared" si="2"/>
        <v>465.55086979441222</v>
      </c>
      <c r="O24" s="91">
        <f t="shared" si="3"/>
        <v>355.62262098966829</v>
      </c>
      <c r="P24" s="91">
        <f t="shared" si="3"/>
        <v>546.12599905970853</v>
      </c>
      <c r="Q24" s="111"/>
      <c r="R24" s="111"/>
      <c r="S24" s="111"/>
    </row>
    <row r="25" spans="1:19" ht="28.5" hidden="1" customHeight="1" x14ac:dyDescent="0.2">
      <c r="A25" s="119" t="s">
        <v>52</v>
      </c>
      <c r="B25" s="92"/>
      <c r="C25" s="92"/>
      <c r="D25" s="120"/>
      <c r="E25" s="120"/>
      <c r="F25" s="120"/>
      <c r="G25" s="92"/>
      <c r="H25" s="92"/>
      <c r="I25" s="120"/>
      <c r="J25" s="120"/>
      <c r="K25" s="120"/>
      <c r="L25" s="91" t="e">
        <f t="shared" si="0"/>
        <v>#DIV/0!</v>
      </c>
      <c r="M25" s="91" t="e">
        <f t="shared" si="1"/>
        <v>#DIV/0!</v>
      </c>
      <c r="N25" s="91" t="e">
        <f t="shared" si="2"/>
        <v>#DIV/0!</v>
      </c>
      <c r="O25" s="91" t="e">
        <f t="shared" si="3"/>
        <v>#DIV/0!</v>
      </c>
      <c r="P25" s="91" t="e">
        <f t="shared" si="3"/>
        <v>#DIV/0!</v>
      </c>
      <c r="Q25" s="111"/>
      <c r="R25" s="111"/>
      <c r="S25" s="111"/>
    </row>
    <row r="26" spans="1:19" ht="28.5" hidden="1" customHeight="1" x14ac:dyDescent="0.2">
      <c r="A26" s="119" t="s">
        <v>22</v>
      </c>
      <c r="B26" s="92"/>
      <c r="C26" s="92"/>
      <c r="D26" s="120"/>
      <c r="E26" s="120"/>
      <c r="F26" s="120"/>
      <c r="G26" s="92"/>
      <c r="H26" s="92"/>
      <c r="I26" s="120"/>
      <c r="J26" s="120"/>
      <c r="K26" s="120"/>
      <c r="L26" s="91" t="e">
        <f t="shared" si="0"/>
        <v>#DIV/0!</v>
      </c>
      <c r="M26" s="91" t="e">
        <f t="shared" si="1"/>
        <v>#DIV/0!</v>
      </c>
      <c r="N26" s="91" t="e">
        <f t="shared" si="2"/>
        <v>#DIV/0!</v>
      </c>
      <c r="O26" s="91" t="e">
        <f t="shared" si="3"/>
        <v>#DIV/0!</v>
      </c>
      <c r="P26" s="91" t="e">
        <f t="shared" si="3"/>
        <v>#DIV/0!</v>
      </c>
      <c r="Q26" s="111"/>
      <c r="R26" s="111"/>
      <c r="S26" s="111"/>
    </row>
    <row r="27" spans="1:19" ht="28.5" hidden="1" customHeight="1" x14ac:dyDescent="0.2">
      <c r="A27" s="119" t="s">
        <v>23</v>
      </c>
      <c r="B27" s="92"/>
      <c r="C27" s="92"/>
      <c r="D27" s="120"/>
      <c r="E27" s="120"/>
      <c r="F27" s="120"/>
      <c r="G27" s="92"/>
      <c r="H27" s="92"/>
      <c r="I27" s="120"/>
      <c r="J27" s="120"/>
      <c r="K27" s="120"/>
      <c r="L27" s="91" t="e">
        <f t="shared" si="0"/>
        <v>#DIV/0!</v>
      </c>
      <c r="M27" s="91" t="e">
        <f t="shared" si="1"/>
        <v>#DIV/0!</v>
      </c>
      <c r="N27" s="91" t="e">
        <f t="shared" si="2"/>
        <v>#DIV/0!</v>
      </c>
      <c r="O27" s="91" t="e">
        <f t="shared" si="3"/>
        <v>#DIV/0!</v>
      </c>
      <c r="P27" s="91" t="e">
        <f t="shared" si="3"/>
        <v>#DIV/0!</v>
      </c>
      <c r="Q27" s="111"/>
      <c r="R27" s="111"/>
      <c r="S27" s="111"/>
    </row>
    <row r="28" spans="1:19" ht="28.5" hidden="1" customHeight="1" x14ac:dyDescent="0.2">
      <c r="A28" s="119" t="s">
        <v>137</v>
      </c>
      <c r="B28" s="92"/>
      <c r="C28" s="92"/>
      <c r="D28" s="120"/>
      <c r="E28" s="120"/>
      <c r="F28" s="120"/>
      <c r="G28" s="92"/>
      <c r="H28" s="92"/>
      <c r="I28" s="120"/>
      <c r="J28" s="120"/>
      <c r="K28" s="120"/>
      <c r="L28" s="91" t="e">
        <f t="shared" si="0"/>
        <v>#DIV/0!</v>
      </c>
      <c r="M28" s="91" t="e">
        <f t="shared" si="1"/>
        <v>#DIV/0!</v>
      </c>
      <c r="N28" s="91" t="e">
        <f t="shared" si="2"/>
        <v>#DIV/0!</v>
      </c>
      <c r="O28" s="91" t="e">
        <f t="shared" si="3"/>
        <v>#DIV/0!</v>
      </c>
      <c r="P28" s="91" t="e">
        <f t="shared" si="3"/>
        <v>#DIV/0!</v>
      </c>
      <c r="Q28" s="111"/>
      <c r="R28" s="111"/>
      <c r="S28" s="111"/>
    </row>
    <row r="29" spans="1:19" ht="28.5" customHeight="1" x14ac:dyDescent="0.2">
      <c r="A29" s="119" t="s">
        <v>87</v>
      </c>
      <c r="B29" s="78">
        <v>50</v>
      </c>
      <c r="C29" s="78">
        <v>50</v>
      </c>
      <c r="D29" s="120">
        <v>50</v>
      </c>
      <c r="E29" s="120">
        <v>50</v>
      </c>
      <c r="F29" s="120">
        <v>9</v>
      </c>
      <c r="G29" s="78">
        <v>130</v>
      </c>
      <c r="H29" s="78">
        <v>100</v>
      </c>
      <c r="I29" s="120">
        <v>122</v>
      </c>
      <c r="J29" s="120">
        <v>118</v>
      </c>
      <c r="K29" s="120">
        <v>17</v>
      </c>
      <c r="L29" s="91">
        <f t="shared" si="0"/>
        <v>442</v>
      </c>
      <c r="M29" s="91">
        <f t="shared" si="1"/>
        <v>340</v>
      </c>
      <c r="N29" s="91">
        <f t="shared" si="2"/>
        <v>414.8</v>
      </c>
      <c r="O29" s="91">
        <f t="shared" si="3"/>
        <v>401.2</v>
      </c>
      <c r="P29" s="91">
        <f t="shared" si="3"/>
        <v>321.11111111111109</v>
      </c>
      <c r="Q29" s="111"/>
      <c r="R29" s="111"/>
      <c r="S29" s="111"/>
    </row>
    <row r="30" spans="1:19" s="67" customFormat="1" ht="28.5" customHeight="1" x14ac:dyDescent="0.2">
      <c r="A30" s="119" t="s">
        <v>44</v>
      </c>
      <c r="B30" s="117">
        <f t="shared" ref="B30" si="4">SUM(B7:B29)</f>
        <v>12292</v>
      </c>
      <c r="C30" s="117">
        <v>10826.4</v>
      </c>
      <c r="D30" s="117">
        <f>SUM(D7:D29)</f>
        <v>12586</v>
      </c>
      <c r="E30" s="131">
        <f>SUM(E7:E29)</f>
        <v>12614</v>
      </c>
      <c r="F30" s="131">
        <f>SUM(F7:F29)</f>
        <v>13477</v>
      </c>
      <c r="G30" s="117">
        <f>SUM(G7:G29)</f>
        <v>30005</v>
      </c>
      <c r="H30" s="117">
        <v>32577.405882352945</v>
      </c>
      <c r="I30" s="117">
        <f>SUM(I7:I29)</f>
        <v>32805</v>
      </c>
      <c r="J30" s="131">
        <f>SUM(J7:J29)</f>
        <v>28042</v>
      </c>
      <c r="K30" s="131">
        <f>SUM(K7:K29)</f>
        <v>36065</v>
      </c>
      <c r="L30" s="118">
        <f t="shared" si="0"/>
        <v>414.9731532704198</v>
      </c>
      <c r="M30" s="118">
        <f t="shared" si="1"/>
        <v>511.54206384393717</v>
      </c>
      <c r="N30" s="118">
        <f t="shared" si="2"/>
        <v>443.09947560781819</v>
      </c>
      <c r="O30" s="118">
        <f t="shared" si="3"/>
        <v>377.92452830188677</v>
      </c>
      <c r="P30" s="118">
        <f t="shared" si="3"/>
        <v>454.92691251762261</v>
      </c>
      <c r="Q30" s="112"/>
      <c r="R30" s="112"/>
      <c r="S30" s="112"/>
    </row>
    <row r="31" spans="1:19" ht="17.25" customHeight="1" x14ac:dyDescent="0.2">
      <c r="A31" s="25"/>
      <c r="B31" s="25"/>
      <c r="C31" s="25"/>
      <c r="G31" s="25"/>
      <c r="H31" s="25"/>
      <c r="I31" s="25"/>
      <c r="J31" s="25"/>
      <c r="K31" s="25"/>
    </row>
    <row r="32" spans="1:19" x14ac:dyDescent="0.2">
      <c r="A32" s="38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2:11" x14ac:dyDescent="0.2">
      <c r="G33" s="23"/>
      <c r="H33" s="23"/>
      <c r="I33" s="23"/>
      <c r="J33" s="23"/>
      <c r="K33" s="23"/>
    </row>
    <row r="35" spans="2:11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2:1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</row>
  </sheetData>
  <mergeCells count="5">
    <mergeCell ref="B5:F5"/>
    <mergeCell ref="A3:M3"/>
    <mergeCell ref="A5:A6"/>
    <mergeCell ref="L5:P5"/>
    <mergeCell ref="G5:K5"/>
  </mergeCells>
  <phoneticPr fontId="9" type="noConversion"/>
  <printOptions horizontalCentered="1" verticalCentered="1"/>
  <pageMargins left="0" right="0" top="0.11811023622047245" bottom="0.23622047244094491" header="0.11811023622047245" footer="0.51181102362204722"/>
  <pageSetup paperSize="9" scale="6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U20"/>
  <sheetViews>
    <sheetView view="pageBreakPreview" zoomScale="50" zoomScaleNormal="75" zoomScaleSheetLayoutView="50" workbookViewId="0">
      <pane xSplit="1" ySplit="6" topLeftCell="B7" activePane="bottomRight" state="frozen"/>
      <selection pane="topRight"/>
      <selection pane="bottomLeft"/>
      <selection pane="bottomRight" activeCell="K19" sqref="B19:K19"/>
    </sheetView>
  </sheetViews>
  <sheetFormatPr defaultRowHeight="18" x14ac:dyDescent="0.2"/>
  <cols>
    <col min="1" max="1" width="28.7109375" style="22" customWidth="1"/>
    <col min="2" max="11" width="15" style="22" customWidth="1"/>
    <col min="12" max="16" width="13.28515625" style="22" customWidth="1"/>
    <col min="17" max="20" width="13.28515625" style="150" customWidth="1"/>
    <col min="21" max="16384" width="9.140625" style="22"/>
  </cols>
  <sheetData>
    <row r="2" spans="1:21" x14ac:dyDescent="0.2">
      <c r="U2" s="2"/>
    </row>
    <row r="3" spans="1:21" ht="21.75" customHeight="1" x14ac:dyDescent="0.2">
      <c r="A3" s="236" t="s">
        <v>124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1"/>
      <c r="O3" s="21"/>
      <c r="P3" s="21"/>
      <c r="Q3" s="33"/>
      <c r="R3" s="33"/>
      <c r="S3" s="33"/>
      <c r="T3" s="33"/>
    </row>
    <row r="4" spans="1:21" x14ac:dyDescent="0.2">
      <c r="A4" s="21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21" ht="40.5" customHeight="1" x14ac:dyDescent="0.2">
      <c r="A5" s="234" t="s">
        <v>140</v>
      </c>
      <c r="B5" s="213" t="s">
        <v>114</v>
      </c>
      <c r="C5" s="213"/>
      <c r="D5" s="213"/>
      <c r="E5" s="213"/>
      <c r="F5" s="213"/>
      <c r="G5" s="237" t="s">
        <v>106</v>
      </c>
      <c r="H5" s="237"/>
      <c r="I5" s="237"/>
      <c r="J5" s="237"/>
      <c r="K5" s="237"/>
      <c r="L5" s="213" t="s">
        <v>78</v>
      </c>
      <c r="M5" s="213"/>
      <c r="N5" s="213"/>
      <c r="O5" s="213"/>
      <c r="P5" s="213"/>
      <c r="Q5" s="108"/>
      <c r="R5" s="108"/>
      <c r="S5" s="108"/>
      <c r="T5" s="108"/>
    </row>
    <row r="6" spans="1:21" s="24" customFormat="1" ht="38.25" customHeight="1" x14ac:dyDescent="0.2">
      <c r="A6" s="234"/>
      <c r="B6" s="90" t="s">
        <v>107</v>
      </c>
      <c r="C6" s="90" t="s">
        <v>108</v>
      </c>
      <c r="D6" s="169" t="s">
        <v>111</v>
      </c>
      <c r="E6" s="169" t="s">
        <v>138</v>
      </c>
      <c r="F6" s="169" t="s">
        <v>141</v>
      </c>
      <c r="G6" s="90" t="s">
        <v>107</v>
      </c>
      <c r="H6" s="90" t="s">
        <v>108</v>
      </c>
      <c r="I6" s="169" t="s">
        <v>111</v>
      </c>
      <c r="J6" s="169" t="s">
        <v>138</v>
      </c>
      <c r="K6" s="169" t="s">
        <v>141</v>
      </c>
      <c r="L6" s="90" t="s">
        <v>107</v>
      </c>
      <c r="M6" s="90" t="s">
        <v>108</v>
      </c>
      <c r="N6" s="169" t="s">
        <v>111</v>
      </c>
      <c r="O6" s="169" t="s">
        <v>138</v>
      </c>
      <c r="P6" s="169" t="s">
        <v>141</v>
      </c>
      <c r="Q6" s="108"/>
      <c r="R6" s="108"/>
      <c r="S6" s="108"/>
      <c r="T6" s="108"/>
    </row>
    <row r="7" spans="1:21" ht="57.75" customHeight="1" x14ac:dyDescent="0.2">
      <c r="A7" s="122" t="s">
        <v>28</v>
      </c>
      <c r="B7" s="63">
        <v>72.128</v>
      </c>
      <c r="C7" s="63">
        <v>75.14</v>
      </c>
      <c r="D7" s="120">
        <v>69.945999999999998</v>
      </c>
      <c r="E7" s="120">
        <v>65.789000000000001</v>
      </c>
      <c r="F7" s="120">
        <v>64.247</v>
      </c>
      <c r="G7" s="63">
        <v>865.80499999999995</v>
      </c>
      <c r="H7" s="63">
        <v>802.74699999999996</v>
      </c>
      <c r="I7" s="120">
        <v>841.29494444444447</v>
      </c>
      <c r="J7" s="120">
        <v>761.69042222222231</v>
      </c>
      <c r="K7" s="120">
        <v>791.66581111111111</v>
      </c>
      <c r="L7" s="91">
        <f t="shared" ref="L7:L15" si="0">G7/B7*180</f>
        <v>2160.6713065661047</v>
      </c>
      <c r="M7" s="91">
        <f t="shared" ref="M7:M15" si="1">H7/C7*180</f>
        <v>1923.003194037796</v>
      </c>
      <c r="N7" s="91">
        <f t="shared" ref="N7:N15" si="2">I7/D7*180</f>
        <v>2165</v>
      </c>
      <c r="O7" s="91">
        <f t="shared" ref="O7:P15" si="3">J7/E7*180</f>
        <v>2084.0000000000005</v>
      </c>
      <c r="P7" s="91">
        <f t="shared" si="3"/>
        <v>2218</v>
      </c>
      <c r="Q7" s="111"/>
      <c r="R7" s="111"/>
      <c r="S7" s="111"/>
      <c r="T7" s="111"/>
    </row>
    <row r="8" spans="1:21" ht="57.75" customHeight="1" x14ac:dyDescent="0.2">
      <c r="A8" s="122" t="s">
        <v>40</v>
      </c>
      <c r="B8" s="63">
        <v>93.909000000000006</v>
      </c>
      <c r="C8" s="63">
        <v>91.38</v>
      </c>
      <c r="D8" s="120">
        <v>83.471999999999994</v>
      </c>
      <c r="E8" s="120">
        <v>70.634</v>
      </c>
      <c r="F8" s="120">
        <v>48.39</v>
      </c>
      <c r="G8" s="63">
        <v>1308</v>
      </c>
      <c r="H8" s="63">
        <v>1356</v>
      </c>
      <c r="I8" s="120">
        <v>1109.7138666666665</v>
      </c>
      <c r="J8" s="120">
        <v>928.83710000000008</v>
      </c>
      <c r="K8" s="120">
        <v>646.81299999999999</v>
      </c>
      <c r="L8" s="91">
        <f t="shared" si="0"/>
        <v>2507.1079449254066</v>
      </c>
      <c r="M8" s="91">
        <f t="shared" si="1"/>
        <v>2671.0439921208144</v>
      </c>
      <c r="N8" s="91">
        <f t="shared" si="2"/>
        <v>2392.9999999999995</v>
      </c>
      <c r="O8" s="91">
        <f t="shared" si="3"/>
        <v>2367</v>
      </c>
      <c r="P8" s="91">
        <f t="shared" si="3"/>
        <v>2406</v>
      </c>
      <c r="Q8" s="111"/>
      <c r="R8" s="111"/>
      <c r="S8" s="111"/>
      <c r="T8" s="111"/>
    </row>
    <row r="9" spans="1:21" ht="57.75" customHeight="1" x14ac:dyDescent="0.2">
      <c r="A9" s="122" t="s">
        <v>13</v>
      </c>
      <c r="B9" s="63">
        <v>6</v>
      </c>
      <c r="C9" s="63">
        <v>6</v>
      </c>
      <c r="D9" s="120">
        <v>6</v>
      </c>
      <c r="E9" s="120">
        <v>0</v>
      </c>
      <c r="F9" s="120">
        <v>0</v>
      </c>
      <c r="G9" s="63">
        <v>5</v>
      </c>
      <c r="H9" s="63">
        <v>5</v>
      </c>
      <c r="I9" s="120">
        <v>9</v>
      </c>
      <c r="J9" s="120">
        <v>0</v>
      </c>
      <c r="K9" s="120">
        <v>0</v>
      </c>
      <c r="L9" s="91">
        <f t="shared" si="0"/>
        <v>150</v>
      </c>
      <c r="M9" s="91">
        <f t="shared" si="1"/>
        <v>150</v>
      </c>
      <c r="N9" s="91">
        <f t="shared" si="2"/>
        <v>270</v>
      </c>
      <c r="O9" s="91" t="e">
        <f t="shared" si="3"/>
        <v>#DIV/0!</v>
      </c>
      <c r="P9" s="91" t="e">
        <f t="shared" si="3"/>
        <v>#DIV/0!</v>
      </c>
      <c r="Q9" s="111"/>
      <c r="R9" s="111"/>
      <c r="S9" s="111"/>
      <c r="T9" s="111"/>
    </row>
    <row r="10" spans="1:21" ht="57.75" customHeight="1" x14ac:dyDescent="0.2">
      <c r="A10" s="122" t="s">
        <v>37</v>
      </c>
      <c r="B10" s="63">
        <v>6.6589999999999998</v>
      </c>
      <c r="C10" s="63">
        <v>6.67</v>
      </c>
      <c r="D10" s="120">
        <v>6.673</v>
      </c>
      <c r="E10" s="120">
        <v>6.6779999999999999</v>
      </c>
      <c r="F10" s="120">
        <v>6.68</v>
      </c>
      <c r="G10" s="63">
        <v>68.281000000000006</v>
      </c>
      <c r="H10" s="63">
        <v>68.37</v>
      </c>
      <c r="I10" s="120">
        <v>68.472394444444447</v>
      </c>
      <c r="J10" s="120">
        <v>68.523699999999991</v>
      </c>
      <c r="K10" s="120">
        <v>68.544222222222217</v>
      </c>
      <c r="L10" s="91">
        <f t="shared" si="0"/>
        <v>1845.7095660009013</v>
      </c>
      <c r="M10" s="91">
        <f t="shared" si="1"/>
        <v>1845.0674662668666</v>
      </c>
      <c r="N10" s="91">
        <f t="shared" si="2"/>
        <v>1847</v>
      </c>
      <c r="O10" s="91">
        <f t="shared" si="3"/>
        <v>1846.9999999999998</v>
      </c>
      <c r="P10" s="91">
        <f t="shared" si="3"/>
        <v>1847</v>
      </c>
      <c r="Q10" s="111"/>
      <c r="R10" s="111"/>
      <c r="S10" s="111"/>
      <c r="T10" s="111"/>
    </row>
    <row r="11" spans="1:21" ht="57.75" customHeight="1" x14ac:dyDescent="0.2">
      <c r="A11" s="122" t="s">
        <v>15</v>
      </c>
      <c r="B11" s="63">
        <v>3.06</v>
      </c>
      <c r="C11" s="63">
        <v>3.07</v>
      </c>
      <c r="D11" s="120">
        <v>3.08</v>
      </c>
      <c r="E11" s="120">
        <v>3.08</v>
      </c>
      <c r="F11" s="120">
        <v>3.08</v>
      </c>
      <c r="G11" s="63">
        <v>5.83</v>
      </c>
      <c r="H11" s="63">
        <v>5.85</v>
      </c>
      <c r="I11" s="120">
        <v>32.613777777777777</v>
      </c>
      <c r="J11" s="120">
        <v>32.613777777777777</v>
      </c>
      <c r="K11" s="120">
        <v>32.613777777777777</v>
      </c>
      <c r="L11" s="91">
        <f t="shared" si="0"/>
        <v>342.94117647058823</v>
      </c>
      <c r="M11" s="91">
        <f t="shared" si="1"/>
        <v>342.99674267100977</v>
      </c>
      <c r="N11" s="91">
        <f t="shared" si="2"/>
        <v>1906</v>
      </c>
      <c r="O11" s="91">
        <f t="shared" si="3"/>
        <v>1906</v>
      </c>
      <c r="P11" s="91">
        <f t="shared" si="3"/>
        <v>1906</v>
      </c>
      <c r="Q11" s="111"/>
      <c r="R11" s="111"/>
      <c r="S11" s="111"/>
      <c r="T11" s="111"/>
    </row>
    <row r="12" spans="1:21" ht="57.75" customHeight="1" x14ac:dyDescent="0.2">
      <c r="A12" s="122" t="s">
        <v>101</v>
      </c>
      <c r="B12" s="63">
        <v>1.2</v>
      </c>
      <c r="C12" s="63">
        <v>0.75</v>
      </c>
      <c r="D12" s="120">
        <v>0.95</v>
      </c>
      <c r="E12" s="120">
        <v>0.2</v>
      </c>
      <c r="F12" s="120">
        <v>0.15</v>
      </c>
      <c r="G12" s="63">
        <v>14.54</v>
      </c>
      <c r="H12" s="63">
        <v>1.26</v>
      </c>
      <c r="I12" s="120">
        <v>13.152222222222223</v>
      </c>
      <c r="J12" s="120">
        <v>1.7333333333333334</v>
      </c>
      <c r="K12" s="120">
        <v>1.8074999999999999</v>
      </c>
      <c r="L12" s="91">
        <f t="shared" si="0"/>
        <v>2181</v>
      </c>
      <c r="M12" s="91">
        <f t="shared" si="1"/>
        <v>302.39999999999998</v>
      </c>
      <c r="N12" s="91">
        <f t="shared" si="2"/>
        <v>2492</v>
      </c>
      <c r="O12" s="91">
        <f t="shared" si="3"/>
        <v>1560</v>
      </c>
      <c r="P12" s="91">
        <f t="shared" si="3"/>
        <v>2169</v>
      </c>
      <c r="Q12" s="111"/>
      <c r="R12" s="111"/>
      <c r="S12" s="111"/>
      <c r="T12" s="111"/>
    </row>
    <row r="13" spans="1:21" ht="57.75" customHeight="1" x14ac:dyDescent="0.2">
      <c r="A13" s="122" t="s">
        <v>52</v>
      </c>
      <c r="B13" s="78">
        <v>0.65</v>
      </c>
      <c r="C13" s="78">
        <v>0.59</v>
      </c>
      <c r="D13" s="120">
        <v>0.55100000000000005</v>
      </c>
      <c r="E13" s="120">
        <v>0.65600000000000003</v>
      </c>
      <c r="F13" s="120">
        <v>0.62</v>
      </c>
      <c r="G13" s="78">
        <v>5.7009999999999996</v>
      </c>
      <c r="H13" s="78">
        <v>5.3689999999999998</v>
      </c>
      <c r="I13" s="120">
        <v>4.9980000000000002</v>
      </c>
      <c r="J13" s="120">
        <v>5.8379999999999992</v>
      </c>
      <c r="K13" s="120">
        <v>3.17</v>
      </c>
      <c r="L13" s="91">
        <f t="shared" si="0"/>
        <v>1578.7384615384613</v>
      </c>
      <c r="M13" s="91">
        <f t="shared" si="1"/>
        <v>1638</v>
      </c>
      <c r="N13" s="91">
        <f t="shared" si="2"/>
        <v>1632.7404718693285</v>
      </c>
      <c r="O13" s="91">
        <f t="shared" si="3"/>
        <v>1601.8902439024389</v>
      </c>
      <c r="P13" s="91">
        <f t="shared" si="3"/>
        <v>920.32258064516134</v>
      </c>
      <c r="Q13" s="111"/>
      <c r="R13" s="111"/>
      <c r="S13" s="111"/>
      <c r="T13" s="111"/>
    </row>
    <row r="14" spans="1:21" ht="57.75" customHeight="1" x14ac:dyDescent="0.2">
      <c r="A14" s="122" t="s">
        <v>23</v>
      </c>
      <c r="B14" s="63">
        <v>544.70000000000005</v>
      </c>
      <c r="C14" s="63">
        <v>522.47</v>
      </c>
      <c r="D14" s="120">
        <v>515.08000000000004</v>
      </c>
      <c r="E14" s="120">
        <v>518.25900000000001</v>
      </c>
      <c r="F14" s="120">
        <v>505.226</v>
      </c>
      <c r="G14" s="63">
        <v>7667.0659999999998</v>
      </c>
      <c r="H14" s="63">
        <v>8187.6580000000004</v>
      </c>
      <c r="I14" s="120">
        <v>7511.65</v>
      </c>
      <c r="J14" s="120">
        <v>7697.4809999927857</v>
      </c>
      <c r="K14" s="120">
        <v>7901.1732777777779</v>
      </c>
      <c r="L14" s="91">
        <f t="shared" si="0"/>
        <v>2533.6366440242332</v>
      </c>
      <c r="M14" s="91">
        <f t="shared" si="1"/>
        <v>2820.7905525676115</v>
      </c>
      <c r="N14" s="91">
        <f t="shared" si="2"/>
        <v>2625.0232973518673</v>
      </c>
      <c r="O14" s="91">
        <f t="shared" si="3"/>
        <v>2673.4636156800007</v>
      </c>
      <c r="P14" s="91">
        <f t="shared" si="3"/>
        <v>2815</v>
      </c>
      <c r="Q14" s="111"/>
      <c r="R14" s="111"/>
      <c r="S14" s="111"/>
      <c r="T14" s="111"/>
    </row>
    <row r="15" spans="1:21" s="67" customFormat="1" ht="57.75" customHeight="1" x14ac:dyDescent="0.2">
      <c r="A15" s="122" t="s">
        <v>44</v>
      </c>
      <c r="B15" s="117">
        <f t="shared" ref="B15:G15" si="4">SUM(B7:B14)</f>
        <v>728.30600000000004</v>
      </c>
      <c r="C15" s="117">
        <v>706.06999999999994</v>
      </c>
      <c r="D15" s="117">
        <f>SUM(D7:D14)</f>
        <v>685.75200000000007</v>
      </c>
      <c r="E15" s="117">
        <f>SUM(E7:E14)</f>
        <v>665.29600000000005</v>
      </c>
      <c r="F15" s="117">
        <f>SUM(F7:F14)</f>
        <v>628.39300000000003</v>
      </c>
      <c r="G15" s="117">
        <f t="shared" si="4"/>
        <v>9940.223</v>
      </c>
      <c r="H15" s="117">
        <v>10432.254000000001</v>
      </c>
      <c r="I15" s="117">
        <f>SUM(I7:I14)</f>
        <v>9590.8952055555546</v>
      </c>
      <c r="J15" s="117">
        <f>SUM(J7:J14)</f>
        <v>9496.7173333261198</v>
      </c>
      <c r="K15" s="117">
        <f>SUM(K7:K14)</f>
        <v>9445.7875888888884</v>
      </c>
      <c r="L15" s="118">
        <f t="shared" si="0"/>
        <v>2456.7148149266927</v>
      </c>
      <c r="M15" s="118">
        <f t="shared" si="1"/>
        <v>2659.5177815230791</v>
      </c>
      <c r="N15" s="118">
        <f t="shared" si="2"/>
        <v>2517.4715305241539</v>
      </c>
      <c r="O15" s="118">
        <f t="shared" si="3"/>
        <v>2569.3963589119749</v>
      </c>
      <c r="P15" s="118">
        <f t="shared" si="3"/>
        <v>2705.6981315832604</v>
      </c>
      <c r="Q15" s="112"/>
      <c r="R15" s="112"/>
      <c r="S15" s="112"/>
      <c r="T15" s="112"/>
    </row>
    <row r="16" spans="1:21" x14ac:dyDescent="0.2">
      <c r="A16" s="25"/>
      <c r="B16" s="26"/>
      <c r="C16" s="26"/>
      <c r="G16" s="27"/>
      <c r="H16" s="27"/>
    </row>
    <row r="17" spans="1:11" x14ac:dyDescent="0.2">
      <c r="A17" s="38"/>
      <c r="D17" s="26"/>
      <c r="E17" s="26"/>
      <c r="F17" s="26"/>
      <c r="I17" s="27"/>
      <c r="J17" s="27"/>
      <c r="K17" s="27"/>
    </row>
    <row r="19" spans="1:11" x14ac:dyDescent="0.2"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x14ac:dyDescent="0.2">
      <c r="B20" s="53"/>
      <c r="C20" s="53"/>
      <c r="D20" s="53"/>
      <c r="E20" s="53"/>
      <c r="F20" s="53"/>
      <c r="G20" s="53"/>
      <c r="H20" s="53"/>
      <c r="I20" s="53"/>
      <c r="J20" s="53"/>
      <c r="K20" s="53"/>
    </row>
  </sheetData>
  <mergeCells count="5">
    <mergeCell ref="B5:F5"/>
    <mergeCell ref="A5:A6"/>
    <mergeCell ref="A3:M3"/>
    <mergeCell ref="L5:P5"/>
    <mergeCell ref="G5:K5"/>
  </mergeCells>
  <phoneticPr fontId="9" type="noConversion"/>
  <printOptions horizontalCentered="1" verticalCentered="1"/>
  <pageMargins left="0" right="0" top="0.11811023622047245" bottom="0.23622047244094491" header="0.11811023622047245" footer="0.51181102362204722"/>
  <pageSetup paperSize="9" scale="5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S32"/>
  <sheetViews>
    <sheetView view="pageBreakPreview" zoomScale="50" zoomScaleNormal="75" zoomScaleSheetLayoutView="50" workbookViewId="0">
      <pane xSplit="1" ySplit="6" topLeftCell="B7" activePane="bottomRight" state="frozen"/>
      <selection pane="topRight"/>
      <selection pane="bottomLeft"/>
      <selection pane="bottomRight" activeCell="B7" sqref="B7"/>
    </sheetView>
  </sheetViews>
  <sheetFormatPr defaultRowHeight="15" x14ac:dyDescent="0.2"/>
  <cols>
    <col min="1" max="1" width="27" style="28" customWidth="1"/>
    <col min="2" max="11" width="14.140625" style="28" customWidth="1"/>
    <col min="12" max="16" width="13.7109375" style="31" customWidth="1"/>
    <col min="17" max="18" width="13.7109375" style="151" customWidth="1"/>
    <col min="19" max="16384" width="9.140625" style="28"/>
  </cols>
  <sheetData>
    <row r="2" spans="1:19" x14ac:dyDescent="0.2">
      <c r="S2" s="2"/>
    </row>
    <row r="3" spans="1:19" ht="27.75" customHeight="1" x14ac:dyDescent="0.2">
      <c r="A3" s="236" t="s">
        <v>125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4"/>
      <c r="O3" s="24"/>
      <c r="P3" s="24"/>
      <c r="Q3" s="152"/>
      <c r="R3" s="152"/>
    </row>
    <row r="4" spans="1:19" ht="18" x14ac:dyDescent="0.2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4"/>
      <c r="M4" s="24"/>
      <c r="N4" s="24"/>
      <c r="O4" s="24"/>
      <c r="P4" s="24"/>
      <c r="Q4" s="152"/>
      <c r="R4" s="152"/>
    </row>
    <row r="5" spans="1:19" ht="40.5" customHeight="1" x14ac:dyDescent="0.2">
      <c r="A5" s="234" t="s">
        <v>0</v>
      </c>
      <c r="B5" s="213" t="s">
        <v>80</v>
      </c>
      <c r="C5" s="213"/>
      <c r="D5" s="213"/>
      <c r="E5" s="213"/>
      <c r="F5" s="213"/>
      <c r="G5" s="237" t="s">
        <v>106</v>
      </c>
      <c r="H5" s="237"/>
      <c r="I5" s="237"/>
      <c r="J5" s="237"/>
      <c r="K5" s="237"/>
      <c r="L5" s="213" t="s">
        <v>78</v>
      </c>
      <c r="M5" s="213"/>
      <c r="N5" s="213"/>
      <c r="O5" s="213"/>
      <c r="P5" s="213"/>
      <c r="Q5" s="108"/>
      <c r="R5" s="108"/>
    </row>
    <row r="6" spans="1:19" s="31" customFormat="1" ht="40.5" customHeight="1" x14ac:dyDescent="0.2">
      <c r="A6" s="234"/>
      <c r="B6" s="90" t="s">
        <v>107</v>
      </c>
      <c r="C6" s="90" t="s">
        <v>108</v>
      </c>
      <c r="D6" s="169" t="s">
        <v>111</v>
      </c>
      <c r="E6" s="169" t="s">
        <v>138</v>
      </c>
      <c r="F6" s="169" t="s">
        <v>141</v>
      </c>
      <c r="G6" s="90" t="s">
        <v>107</v>
      </c>
      <c r="H6" s="90" t="s">
        <v>108</v>
      </c>
      <c r="I6" s="169" t="s">
        <v>111</v>
      </c>
      <c r="J6" s="169" t="s">
        <v>138</v>
      </c>
      <c r="K6" s="169" t="s">
        <v>141</v>
      </c>
      <c r="L6" s="90" t="s">
        <v>107</v>
      </c>
      <c r="M6" s="90" t="s">
        <v>108</v>
      </c>
      <c r="N6" s="169" t="s">
        <v>111</v>
      </c>
      <c r="O6" s="169" t="s">
        <v>138</v>
      </c>
      <c r="P6" s="169" t="s">
        <v>141</v>
      </c>
      <c r="Q6" s="108"/>
      <c r="R6" s="108"/>
    </row>
    <row r="7" spans="1:19" ht="36.75" customHeight="1" x14ac:dyDescent="0.2">
      <c r="A7" s="119" t="s">
        <v>1</v>
      </c>
      <c r="B7" s="78">
        <v>5</v>
      </c>
      <c r="C7" s="78">
        <v>7</v>
      </c>
      <c r="D7" s="120">
        <v>5</v>
      </c>
      <c r="E7" s="120">
        <v>3</v>
      </c>
      <c r="F7" s="120">
        <v>2</v>
      </c>
      <c r="G7" s="78">
        <v>44</v>
      </c>
      <c r="H7" s="78">
        <v>63</v>
      </c>
      <c r="I7" s="120">
        <v>47.222222222222221</v>
      </c>
      <c r="J7" s="120">
        <v>30.333333333333332</v>
      </c>
      <c r="K7" s="120">
        <v>21.31111111111111</v>
      </c>
      <c r="L7" s="91">
        <f>G7*180/B7</f>
        <v>1584</v>
      </c>
      <c r="M7" s="91">
        <f>H7*180/C7</f>
        <v>1620</v>
      </c>
      <c r="N7" s="91">
        <f>I7*180/D7</f>
        <v>1700</v>
      </c>
      <c r="O7" s="91">
        <f>J7*180/E7</f>
        <v>1820</v>
      </c>
      <c r="P7" s="91">
        <f t="shared" ref="O7:P22" si="0">K7*180/F7</f>
        <v>1918</v>
      </c>
      <c r="Q7" s="111"/>
      <c r="R7" s="111"/>
    </row>
    <row r="8" spans="1:19" ht="36.75" hidden="1" customHeight="1" x14ac:dyDescent="0.2">
      <c r="A8" s="119" t="s">
        <v>32</v>
      </c>
      <c r="B8" s="78">
        <v>0</v>
      </c>
      <c r="C8" s="78">
        <v>0.26600000000000001</v>
      </c>
      <c r="D8" s="120">
        <v>0.26300000000000001</v>
      </c>
      <c r="E8" s="120"/>
      <c r="F8" s="120"/>
      <c r="G8" s="78">
        <v>0</v>
      </c>
      <c r="H8" s="78">
        <v>0</v>
      </c>
      <c r="I8" s="120">
        <v>0</v>
      </c>
      <c r="J8" s="120"/>
      <c r="K8" s="120"/>
      <c r="L8" s="91" t="e">
        <f t="shared" ref="L8:L22" si="1">G8*180/B8</f>
        <v>#DIV/0!</v>
      </c>
      <c r="M8" s="91">
        <f t="shared" ref="M8:M22" si="2">H8*180/C8</f>
        <v>0</v>
      </c>
      <c r="N8" s="91">
        <f t="shared" ref="N8:N22" si="3">I8*180/D8</f>
        <v>0</v>
      </c>
      <c r="O8" s="91"/>
      <c r="P8" s="91"/>
      <c r="Q8" s="111"/>
      <c r="R8" s="111"/>
    </row>
    <row r="9" spans="1:19" ht="36.75" customHeight="1" x14ac:dyDescent="0.2">
      <c r="A9" s="119" t="s">
        <v>28</v>
      </c>
      <c r="B9" s="78">
        <v>4.3040000000000003</v>
      </c>
      <c r="C9" s="78">
        <v>3.544</v>
      </c>
      <c r="D9" s="120">
        <v>3.4180000000000001</v>
      </c>
      <c r="E9" s="120">
        <v>3.2869999999999999</v>
      </c>
      <c r="F9" s="120">
        <v>3.2210000000000001</v>
      </c>
      <c r="G9" s="78">
        <v>28.259</v>
      </c>
      <c r="H9" s="78">
        <v>21.344000000000001</v>
      </c>
      <c r="I9" s="120">
        <v>20.1662</v>
      </c>
      <c r="J9" s="120">
        <v>19.722000000000001</v>
      </c>
      <c r="K9" s="120">
        <v>20.00598888888889</v>
      </c>
      <c r="L9" s="91">
        <f t="shared" si="1"/>
        <v>1181.8355018587361</v>
      </c>
      <c r="M9" s="91">
        <f t="shared" si="2"/>
        <v>1084.0632054176072</v>
      </c>
      <c r="N9" s="91">
        <f t="shared" si="3"/>
        <v>1062</v>
      </c>
      <c r="O9" s="91">
        <f t="shared" si="0"/>
        <v>1080</v>
      </c>
      <c r="P9" s="91">
        <f t="shared" si="0"/>
        <v>1118</v>
      </c>
      <c r="Q9" s="111"/>
      <c r="R9" s="111"/>
    </row>
    <row r="10" spans="1:19" ht="36.75" customHeight="1" x14ac:dyDescent="0.2">
      <c r="A10" s="119" t="s">
        <v>40</v>
      </c>
      <c r="B10" s="78">
        <v>16.475999999999999</v>
      </c>
      <c r="C10" s="78">
        <v>16.323</v>
      </c>
      <c r="D10" s="120">
        <v>20.727</v>
      </c>
      <c r="E10" s="120">
        <v>14.483000000000001</v>
      </c>
      <c r="F10" s="120">
        <v>13.696999999999999</v>
      </c>
      <c r="G10" s="78">
        <v>322</v>
      </c>
      <c r="H10" s="78">
        <v>215</v>
      </c>
      <c r="I10" s="120">
        <v>170.30685</v>
      </c>
      <c r="J10" s="120">
        <v>155.69225</v>
      </c>
      <c r="K10" s="120">
        <v>155.3087611111111</v>
      </c>
      <c r="L10" s="91">
        <f t="shared" si="1"/>
        <v>3517.8441369264388</v>
      </c>
      <c r="M10" s="91">
        <f t="shared" si="2"/>
        <v>2370.8877044660908</v>
      </c>
      <c r="N10" s="91">
        <f t="shared" si="3"/>
        <v>1479</v>
      </c>
      <c r="O10" s="91">
        <f t="shared" si="0"/>
        <v>1935</v>
      </c>
      <c r="P10" s="91">
        <f t="shared" si="0"/>
        <v>2041</v>
      </c>
      <c r="Q10" s="111"/>
      <c r="R10" s="111"/>
    </row>
    <row r="11" spans="1:19" ht="36.75" customHeight="1" x14ac:dyDescent="0.2">
      <c r="A11" s="119" t="s">
        <v>6</v>
      </c>
      <c r="B11" s="78">
        <v>1.2</v>
      </c>
      <c r="C11" s="78">
        <v>1.1000000000000001</v>
      </c>
      <c r="D11" s="120">
        <v>1.08</v>
      </c>
      <c r="E11" s="120">
        <v>1.1000000000000001</v>
      </c>
      <c r="F11" s="120">
        <v>0.97</v>
      </c>
      <c r="G11" s="78">
        <v>2.2999999999999998</v>
      </c>
      <c r="H11" s="78">
        <v>1.9</v>
      </c>
      <c r="I11" s="120">
        <v>2.0820000000000003</v>
      </c>
      <c r="J11" s="120">
        <v>2.1327777777777781</v>
      </c>
      <c r="K11" s="120">
        <v>1.9238333333333331</v>
      </c>
      <c r="L11" s="91">
        <f t="shared" si="1"/>
        <v>344.99999999999994</v>
      </c>
      <c r="M11" s="91">
        <f t="shared" si="2"/>
        <v>310.90909090909088</v>
      </c>
      <c r="N11" s="91">
        <f t="shared" si="3"/>
        <v>347</v>
      </c>
      <c r="O11" s="91">
        <f t="shared" si="0"/>
        <v>349</v>
      </c>
      <c r="P11" s="91">
        <f t="shared" si="0"/>
        <v>357</v>
      </c>
      <c r="Q11" s="111"/>
      <c r="R11" s="111"/>
    </row>
    <row r="12" spans="1:19" ht="36.75" customHeight="1" x14ac:dyDescent="0.2">
      <c r="A12" s="119" t="s">
        <v>11</v>
      </c>
      <c r="B12" s="92">
        <v>0</v>
      </c>
      <c r="C12" s="92">
        <v>0.1</v>
      </c>
      <c r="D12" s="120">
        <v>0</v>
      </c>
      <c r="E12" s="120">
        <v>0</v>
      </c>
      <c r="F12" s="120">
        <v>0</v>
      </c>
      <c r="G12" s="92">
        <v>0</v>
      </c>
      <c r="H12" s="92">
        <v>0.1</v>
      </c>
      <c r="I12" s="120">
        <v>0</v>
      </c>
      <c r="J12" s="120">
        <v>0</v>
      </c>
      <c r="K12" s="120">
        <v>0</v>
      </c>
      <c r="L12" s="91" t="e">
        <f t="shared" si="1"/>
        <v>#DIV/0!</v>
      </c>
      <c r="M12" s="91">
        <f t="shared" si="2"/>
        <v>180</v>
      </c>
      <c r="N12" s="91" t="e">
        <f t="shared" si="3"/>
        <v>#DIV/0!</v>
      </c>
      <c r="O12" s="91" t="e">
        <f t="shared" si="0"/>
        <v>#DIV/0!</v>
      </c>
      <c r="P12" s="91" t="e">
        <f t="shared" si="0"/>
        <v>#DIV/0!</v>
      </c>
      <c r="Q12" s="111"/>
      <c r="R12" s="111"/>
    </row>
    <row r="13" spans="1:19" ht="36.75" customHeight="1" x14ac:dyDescent="0.2">
      <c r="A13" s="119" t="s">
        <v>13</v>
      </c>
      <c r="B13" s="78">
        <v>2</v>
      </c>
      <c r="C13" s="78">
        <v>2</v>
      </c>
      <c r="D13" s="120">
        <v>2</v>
      </c>
      <c r="E13" s="120">
        <v>0</v>
      </c>
      <c r="F13" s="120">
        <v>1</v>
      </c>
      <c r="G13" s="78">
        <v>1</v>
      </c>
      <c r="H13" s="78">
        <v>2</v>
      </c>
      <c r="I13" s="120">
        <v>2</v>
      </c>
      <c r="J13" s="120">
        <v>0</v>
      </c>
      <c r="K13" s="120">
        <v>2.1833333333333331</v>
      </c>
      <c r="L13" s="91">
        <f t="shared" si="1"/>
        <v>90</v>
      </c>
      <c r="M13" s="91">
        <f t="shared" si="2"/>
        <v>180</v>
      </c>
      <c r="N13" s="91">
        <f t="shared" si="3"/>
        <v>180</v>
      </c>
      <c r="O13" s="91" t="e">
        <f t="shared" si="0"/>
        <v>#DIV/0!</v>
      </c>
      <c r="P13" s="91">
        <f t="shared" si="0"/>
        <v>392.99999999999994</v>
      </c>
      <c r="Q13" s="111"/>
      <c r="R13" s="111"/>
    </row>
    <row r="14" spans="1:19" ht="36.75" hidden="1" customHeight="1" x14ac:dyDescent="0.2">
      <c r="A14" s="119" t="s">
        <v>14</v>
      </c>
      <c r="B14" s="92">
        <v>0</v>
      </c>
      <c r="C14" s="92">
        <v>0</v>
      </c>
      <c r="D14" s="120"/>
      <c r="E14" s="120"/>
      <c r="F14" s="120"/>
      <c r="G14" s="92">
        <v>0</v>
      </c>
      <c r="H14" s="92">
        <v>0</v>
      </c>
      <c r="I14" s="120"/>
      <c r="J14" s="120"/>
      <c r="K14" s="120"/>
      <c r="L14" s="91" t="e">
        <f t="shared" si="1"/>
        <v>#DIV/0!</v>
      </c>
      <c r="M14" s="91" t="e">
        <f t="shared" si="2"/>
        <v>#DIV/0!</v>
      </c>
      <c r="N14" s="91" t="e">
        <f t="shared" si="3"/>
        <v>#DIV/0!</v>
      </c>
      <c r="O14" s="91" t="e">
        <f t="shared" si="0"/>
        <v>#DIV/0!</v>
      </c>
      <c r="P14" s="91" t="e">
        <f t="shared" si="0"/>
        <v>#DIV/0!</v>
      </c>
      <c r="Q14" s="111"/>
      <c r="R14" s="111"/>
    </row>
    <row r="15" spans="1:19" ht="36.75" customHeight="1" x14ac:dyDescent="0.2">
      <c r="A15" s="119" t="s">
        <v>37</v>
      </c>
      <c r="B15" s="78">
        <v>4.4690000000000003</v>
      </c>
      <c r="C15" s="78">
        <v>4.46</v>
      </c>
      <c r="D15" s="120">
        <v>4.47</v>
      </c>
      <c r="E15" s="120">
        <v>4.4749999999999996</v>
      </c>
      <c r="F15" s="120">
        <v>4.4800000000000004</v>
      </c>
      <c r="G15" s="78">
        <v>26.263000000000002</v>
      </c>
      <c r="H15" s="78">
        <v>26.3</v>
      </c>
      <c r="I15" s="120">
        <v>26.348166666666668</v>
      </c>
      <c r="J15" s="120">
        <v>26.4025</v>
      </c>
      <c r="K15" s="120">
        <v>26.456888888888894</v>
      </c>
      <c r="L15" s="91">
        <f t="shared" si="1"/>
        <v>1057.8071156858357</v>
      </c>
      <c r="M15" s="91">
        <f t="shared" si="2"/>
        <v>1061.4349775784754</v>
      </c>
      <c r="N15" s="91">
        <f t="shared" si="3"/>
        <v>1061</v>
      </c>
      <c r="O15" s="91">
        <f t="shared" si="0"/>
        <v>1062</v>
      </c>
      <c r="P15" s="91">
        <f t="shared" si="0"/>
        <v>1063</v>
      </c>
      <c r="Q15" s="111"/>
      <c r="R15" s="111"/>
    </row>
    <row r="16" spans="1:19" ht="36.75" customHeight="1" x14ac:dyDescent="0.2">
      <c r="A16" s="119" t="s">
        <v>15</v>
      </c>
      <c r="B16" s="78">
        <v>1.85</v>
      </c>
      <c r="C16" s="78">
        <v>1.88</v>
      </c>
      <c r="D16" s="120">
        <v>1.9</v>
      </c>
      <c r="E16" s="120">
        <v>1.93</v>
      </c>
      <c r="F16" s="120">
        <v>1.96</v>
      </c>
      <c r="G16" s="78">
        <v>2.0499999999999998</v>
      </c>
      <c r="H16" s="78">
        <v>2.09</v>
      </c>
      <c r="I16" s="120">
        <v>11.66388888888889</v>
      </c>
      <c r="J16" s="120">
        <v>11.837333333333332</v>
      </c>
      <c r="K16" s="120">
        <v>12.021333333333335</v>
      </c>
      <c r="L16" s="91">
        <f t="shared" si="1"/>
        <v>199.45945945945942</v>
      </c>
      <c r="M16" s="91">
        <f t="shared" si="2"/>
        <v>200.10638297872342</v>
      </c>
      <c r="N16" s="91">
        <f t="shared" si="3"/>
        <v>1105</v>
      </c>
      <c r="O16" s="91">
        <f t="shared" si="0"/>
        <v>1104</v>
      </c>
      <c r="P16" s="91">
        <f t="shared" si="0"/>
        <v>1104</v>
      </c>
      <c r="Q16" s="111"/>
      <c r="R16" s="111"/>
    </row>
    <row r="17" spans="1:18" ht="36.75" customHeight="1" x14ac:dyDescent="0.2">
      <c r="A17" s="119" t="s">
        <v>101</v>
      </c>
      <c r="B17" s="78">
        <v>8.69</v>
      </c>
      <c r="C17" s="78">
        <v>6.39</v>
      </c>
      <c r="D17" s="120">
        <v>6.26</v>
      </c>
      <c r="E17" s="120">
        <v>0</v>
      </c>
      <c r="F17" s="120">
        <v>4.6900000000000004</v>
      </c>
      <c r="G17" s="78">
        <v>42.24</v>
      </c>
      <c r="H17" s="78">
        <v>31.52</v>
      </c>
      <c r="I17" s="120">
        <v>31.091333333333331</v>
      </c>
      <c r="J17" s="120">
        <v>0</v>
      </c>
      <c r="K17" s="120">
        <v>23.423944444444448</v>
      </c>
      <c r="L17" s="91">
        <f t="shared" si="1"/>
        <v>874.93670886075961</v>
      </c>
      <c r="M17" s="91">
        <f t="shared" si="2"/>
        <v>887.88732394366207</v>
      </c>
      <c r="N17" s="91">
        <f t="shared" si="3"/>
        <v>894</v>
      </c>
      <c r="O17" s="91" t="e">
        <f t="shared" si="0"/>
        <v>#DIV/0!</v>
      </c>
      <c r="P17" s="91">
        <f t="shared" si="0"/>
        <v>899</v>
      </c>
      <c r="Q17" s="111"/>
      <c r="R17" s="111"/>
    </row>
    <row r="18" spans="1:18" ht="36.75" hidden="1" customHeight="1" x14ac:dyDescent="0.2">
      <c r="A18" s="119" t="s">
        <v>19</v>
      </c>
      <c r="B18" s="92">
        <v>0</v>
      </c>
      <c r="C18" s="92">
        <v>0</v>
      </c>
      <c r="D18" s="120"/>
      <c r="E18" s="120"/>
      <c r="F18" s="120"/>
      <c r="G18" s="92">
        <v>0</v>
      </c>
      <c r="H18" s="92">
        <v>0</v>
      </c>
      <c r="I18" s="120"/>
      <c r="J18" s="120"/>
      <c r="K18" s="120"/>
      <c r="L18" s="91" t="e">
        <f t="shared" si="1"/>
        <v>#DIV/0!</v>
      </c>
      <c r="M18" s="91" t="e">
        <f t="shared" si="2"/>
        <v>#DIV/0!</v>
      </c>
      <c r="N18" s="91" t="e">
        <f t="shared" si="3"/>
        <v>#DIV/0!</v>
      </c>
      <c r="O18" s="91" t="e">
        <f t="shared" si="0"/>
        <v>#DIV/0!</v>
      </c>
      <c r="P18" s="91" t="e">
        <f t="shared" si="0"/>
        <v>#DIV/0!</v>
      </c>
      <c r="Q18" s="111"/>
      <c r="R18" s="111"/>
    </row>
    <row r="19" spans="1:18" ht="36.75" hidden="1" customHeight="1" x14ac:dyDescent="0.2">
      <c r="A19" s="119" t="s">
        <v>103</v>
      </c>
      <c r="B19" s="92">
        <v>0</v>
      </c>
      <c r="C19" s="92">
        <v>0</v>
      </c>
      <c r="D19" s="120"/>
      <c r="E19" s="120"/>
      <c r="F19" s="120"/>
      <c r="G19" s="92">
        <v>0</v>
      </c>
      <c r="H19" s="92">
        <v>0</v>
      </c>
      <c r="I19" s="120"/>
      <c r="J19" s="120"/>
      <c r="K19" s="120"/>
      <c r="L19" s="91" t="e">
        <f t="shared" si="1"/>
        <v>#DIV/0!</v>
      </c>
      <c r="M19" s="91" t="e">
        <f t="shared" si="2"/>
        <v>#DIV/0!</v>
      </c>
      <c r="N19" s="91" t="e">
        <f t="shared" si="3"/>
        <v>#DIV/0!</v>
      </c>
      <c r="O19" s="91" t="e">
        <f t="shared" si="0"/>
        <v>#DIV/0!</v>
      </c>
      <c r="P19" s="91" t="e">
        <f t="shared" si="0"/>
        <v>#DIV/0!</v>
      </c>
      <c r="Q19" s="111"/>
      <c r="R19" s="111"/>
    </row>
    <row r="20" spans="1:18" ht="36.75" customHeight="1" x14ac:dyDescent="0.2">
      <c r="A20" s="119" t="s">
        <v>52</v>
      </c>
      <c r="B20" s="78">
        <v>0.627</v>
      </c>
      <c r="C20" s="78">
        <v>0.58299999999999996</v>
      </c>
      <c r="D20" s="120">
        <v>0.54100000000000004</v>
      </c>
      <c r="E20" s="120">
        <v>0.49299999999999999</v>
      </c>
      <c r="F20" s="120">
        <v>0.43</v>
      </c>
      <c r="G20" s="78">
        <v>5.53</v>
      </c>
      <c r="H20" s="78">
        <v>4.9610000000000003</v>
      </c>
      <c r="I20" s="120">
        <v>4.9630000000000001</v>
      </c>
      <c r="J20" s="120">
        <v>4.117</v>
      </c>
      <c r="K20" s="120">
        <v>2.13</v>
      </c>
      <c r="L20" s="91">
        <f t="shared" si="1"/>
        <v>1587.5598086124403</v>
      </c>
      <c r="M20" s="91">
        <f t="shared" si="2"/>
        <v>1531.6981132075473</v>
      </c>
      <c r="N20" s="91">
        <f t="shared" si="3"/>
        <v>1651.2754158964879</v>
      </c>
      <c r="O20" s="91">
        <f t="shared" si="0"/>
        <v>1503.1643002028397</v>
      </c>
      <c r="P20" s="91">
        <f t="shared" si="0"/>
        <v>891.62790697674416</v>
      </c>
      <c r="Q20" s="111"/>
      <c r="R20" s="111"/>
    </row>
    <row r="21" spans="1:18" ht="36.75" customHeight="1" x14ac:dyDescent="0.2">
      <c r="A21" s="119" t="s">
        <v>23</v>
      </c>
      <c r="B21" s="78">
        <v>9.3789999999999996</v>
      </c>
      <c r="C21" s="78">
        <v>13.695</v>
      </c>
      <c r="D21" s="120">
        <v>10.36</v>
      </c>
      <c r="E21" s="120">
        <v>10.750999999999999</v>
      </c>
      <c r="F21" s="120">
        <v>12.433999999999999</v>
      </c>
      <c r="G21" s="78">
        <v>109.71599999999999</v>
      </c>
      <c r="H21" s="78">
        <v>161.93100000000001</v>
      </c>
      <c r="I21" s="120">
        <v>126.20000000000002</v>
      </c>
      <c r="J21" s="120">
        <v>72.748433333333324</v>
      </c>
      <c r="K21" s="120">
        <v>166.21099999999998</v>
      </c>
      <c r="L21" s="91">
        <f t="shared" si="1"/>
        <v>2105.6487898496639</v>
      </c>
      <c r="M21" s="91">
        <f t="shared" si="2"/>
        <v>2128.3373493975905</v>
      </c>
      <c r="N21" s="91">
        <f t="shared" si="3"/>
        <v>2192.664092664093</v>
      </c>
      <c r="O21" s="91">
        <f t="shared" si="0"/>
        <v>1218</v>
      </c>
      <c r="P21" s="91">
        <f t="shared" si="0"/>
        <v>2406.1428341643878</v>
      </c>
      <c r="Q21" s="111"/>
      <c r="R21" s="111"/>
    </row>
    <row r="22" spans="1:18" s="68" customFormat="1" ht="36.75" customHeight="1" x14ac:dyDescent="0.2">
      <c r="A22" s="119" t="s">
        <v>93</v>
      </c>
      <c r="B22" s="117">
        <f t="shared" ref="B22:H22" si="4">SUM(B7:B21)</f>
        <v>53.994999999999997</v>
      </c>
      <c r="C22" s="117">
        <v>57.34</v>
      </c>
      <c r="D22" s="117">
        <f>SUM(D7:D21)</f>
        <v>56.018999999999991</v>
      </c>
      <c r="E22" s="117">
        <f>SUM(E7:E21)</f>
        <v>39.518999999999998</v>
      </c>
      <c r="F22" s="117">
        <f>SUM(F7:F21)</f>
        <v>44.881999999999998</v>
      </c>
      <c r="G22" s="117">
        <f t="shared" si="4"/>
        <v>583.35799999999995</v>
      </c>
      <c r="H22" s="117">
        <f t="shared" si="4"/>
        <v>530.14599999999996</v>
      </c>
      <c r="I22" s="117">
        <f>SUM(I7:I21)</f>
        <v>442.04366111111119</v>
      </c>
      <c r="J22" s="117">
        <f t="shared" ref="J22:K22" si="5">SUM(J7:J21)</f>
        <v>322.98562777777778</v>
      </c>
      <c r="K22" s="117">
        <f t="shared" si="5"/>
        <v>430.97619444444445</v>
      </c>
      <c r="L22" s="118">
        <f t="shared" si="1"/>
        <v>1944.7067321048244</v>
      </c>
      <c r="M22" s="118">
        <f t="shared" si="2"/>
        <v>1664.2183467038715</v>
      </c>
      <c r="N22" s="118">
        <f t="shared" si="3"/>
        <v>1420.3727128295761</v>
      </c>
      <c r="O22" s="118">
        <f t="shared" si="0"/>
        <v>1471.1256104658519</v>
      </c>
      <c r="P22" s="118">
        <f t="shared" si="0"/>
        <v>1728.4371240140813</v>
      </c>
      <c r="Q22" s="112"/>
      <c r="R22" s="112"/>
    </row>
    <row r="23" spans="1:18" ht="15.75" x14ac:dyDescent="0.2">
      <c r="A23" s="47"/>
      <c r="B23" s="43"/>
      <c r="C23" s="43"/>
      <c r="G23" s="43"/>
      <c r="H23" s="43"/>
      <c r="N23" s="98"/>
      <c r="O23" s="98"/>
      <c r="P23" s="98"/>
      <c r="Q23" s="98"/>
      <c r="R23" s="98"/>
    </row>
    <row r="24" spans="1:18" x14ac:dyDescent="0.2">
      <c r="A24" s="38"/>
      <c r="D24" s="43"/>
      <c r="E24" s="43"/>
      <c r="F24" s="43"/>
      <c r="I24" s="43"/>
      <c r="J24" s="43"/>
      <c r="K24" s="43"/>
    </row>
    <row r="28" spans="1:18" x14ac:dyDescent="0.2">
      <c r="B28" s="54">
        <f t="shared" ref="B28:H28" si="6">SUM(B7:B21)</f>
        <v>53.994999999999997</v>
      </c>
      <c r="C28" s="54">
        <f t="shared" si="6"/>
        <v>57.341000000000008</v>
      </c>
      <c r="D28" s="54">
        <f t="shared" ref="D28:E28" si="7">SUM(D7:D21)</f>
        <v>56.018999999999991</v>
      </c>
      <c r="E28" s="54">
        <f t="shared" si="7"/>
        <v>39.518999999999998</v>
      </c>
      <c r="F28" s="54">
        <f t="shared" ref="F28" si="8">SUM(F7:F21)</f>
        <v>44.881999999999998</v>
      </c>
      <c r="G28" s="54">
        <f t="shared" si="6"/>
        <v>583.35799999999995</v>
      </c>
      <c r="H28" s="54">
        <f t="shared" si="6"/>
        <v>530.14599999999996</v>
      </c>
      <c r="I28" s="54">
        <f t="shared" ref="I28:J28" si="9">SUM(I7:I21)</f>
        <v>442.04366111111119</v>
      </c>
      <c r="J28" s="54">
        <f t="shared" si="9"/>
        <v>322.98562777777778</v>
      </c>
      <c r="K28" s="54">
        <f t="shared" ref="K28" si="10">SUM(K7:K21)</f>
        <v>430.97619444444445</v>
      </c>
    </row>
    <row r="29" spans="1:18" x14ac:dyDescent="0.2">
      <c r="B29" s="54">
        <f t="shared" ref="B29:H29" si="11">B22-B28</f>
        <v>0</v>
      </c>
      <c r="C29" s="55">
        <f t="shared" si="11"/>
        <v>-1.0000000000047748E-3</v>
      </c>
      <c r="D29" s="55">
        <f t="shared" si="11"/>
        <v>0</v>
      </c>
      <c r="E29" s="55">
        <f t="shared" si="11"/>
        <v>0</v>
      </c>
      <c r="F29" s="55">
        <f t="shared" ref="F29" si="12">F22-F28</f>
        <v>0</v>
      </c>
      <c r="G29" s="54">
        <f t="shared" si="11"/>
        <v>0</v>
      </c>
      <c r="H29" s="54">
        <f t="shared" si="11"/>
        <v>0</v>
      </c>
      <c r="I29" s="54">
        <f t="shared" ref="I29:J29" si="13">I22-I28</f>
        <v>0</v>
      </c>
      <c r="J29" s="54">
        <f t="shared" si="13"/>
        <v>0</v>
      </c>
      <c r="K29" s="54">
        <f t="shared" ref="K29" si="14">K22-K28</f>
        <v>0</v>
      </c>
    </row>
    <row r="32" spans="1:18" x14ac:dyDescent="0.2">
      <c r="L32" s="31" t="e">
        <f>G32/B32*180</f>
        <v>#DIV/0!</v>
      </c>
      <c r="M32" s="31" t="e">
        <f>H32/C32*180</f>
        <v>#DIV/0!</v>
      </c>
      <c r="N32" s="31" t="e">
        <f>I32/D32*180</f>
        <v>#DIV/0!</v>
      </c>
      <c r="O32" s="31" t="e">
        <f>J32/E32*180</f>
        <v>#DIV/0!</v>
      </c>
      <c r="Q32" s="151" t="e">
        <f>#REF!/#REF!*180</f>
        <v>#REF!</v>
      </c>
    </row>
  </sheetData>
  <mergeCells count="5">
    <mergeCell ref="A5:A6"/>
    <mergeCell ref="A3:M3"/>
    <mergeCell ref="B5:F5"/>
    <mergeCell ref="L5:P5"/>
    <mergeCell ref="G5:K5"/>
  </mergeCells>
  <phoneticPr fontId="9" type="noConversion"/>
  <printOptions horizontalCentered="1" verticalCentered="1"/>
  <pageMargins left="0" right="0" top="0.11811023622047245" bottom="0.23622047244094491" header="0.11811023622047245" footer="0.51181102362204722"/>
  <pageSetup paperSize="9" scale="5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GW31"/>
  <sheetViews>
    <sheetView tabSelected="1"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T3" sqref="T1:W1048576"/>
    </sheetView>
  </sheetViews>
  <sheetFormatPr defaultRowHeight="15" x14ac:dyDescent="0.2"/>
  <cols>
    <col min="1" max="1" width="28.85546875" style="28" customWidth="1"/>
    <col min="2" max="11" width="14.28515625" style="28" customWidth="1"/>
    <col min="12" max="19" width="13.5703125" style="28" customWidth="1"/>
    <col min="20" max="16384" width="9.140625" style="28"/>
  </cols>
  <sheetData>
    <row r="2" spans="1:205" ht="27" customHeight="1" x14ac:dyDescent="0.2">
      <c r="A2" s="235" t="s">
        <v>126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33"/>
      <c r="O2" s="33"/>
      <c r="P2" s="33"/>
      <c r="Q2" s="33"/>
      <c r="R2" s="33"/>
      <c r="S2" s="33"/>
      <c r="T2" s="2"/>
    </row>
    <row r="3" spans="1:205" ht="13.5" hidden="1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22"/>
      <c r="M3" s="22"/>
      <c r="N3" s="22"/>
      <c r="O3" s="22"/>
      <c r="P3" s="22"/>
      <c r="Q3" s="22"/>
      <c r="R3" s="22"/>
      <c r="S3" s="22"/>
    </row>
    <row r="4" spans="1:205" ht="40.5" customHeight="1" x14ac:dyDescent="0.2">
      <c r="A4" s="234" t="s">
        <v>77</v>
      </c>
      <c r="B4" s="213" t="s">
        <v>80</v>
      </c>
      <c r="C4" s="213"/>
      <c r="D4" s="213"/>
      <c r="E4" s="213"/>
      <c r="F4" s="213"/>
      <c r="G4" s="237" t="s">
        <v>106</v>
      </c>
      <c r="H4" s="237"/>
      <c r="I4" s="237"/>
      <c r="J4" s="237"/>
      <c r="K4" s="237"/>
      <c r="L4" s="213" t="s">
        <v>78</v>
      </c>
      <c r="M4" s="213"/>
      <c r="N4" s="213"/>
      <c r="O4" s="213"/>
      <c r="P4" s="213"/>
      <c r="Q4" s="108"/>
      <c r="R4" s="108"/>
      <c r="S4" s="108"/>
    </row>
    <row r="5" spans="1:205" s="31" customFormat="1" ht="40.5" customHeight="1" x14ac:dyDescent="0.2">
      <c r="A5" s="234"/>
      <c r="B5" s="90" t="s">
        <v>107</v>
      </c>
      <c r="C5" s="90" t="s">
        <v>108</v>
      </c>
      <c r="D5" s="90" t="s">
        <v>111</v>
      </c>
      <c r="E5" s="90" t="s">
        <v>138</v>
      </c>
      <c r="F5" s="90" t="s">
        <v>141</v>
      </c>
      <c r="G5" s="90" t="s">
        <v>107</v>
      </c>
      <c r="H5" s="90" t="s">
        <v>108</v>
      </c>
      <c r="I5" s="90" t="s">
        <v>111</v>
      </c>
      <c r="J5" s="90" t="s">
        <v>138</v>
      </c>
      <c r="K5" s="90" t="s">
        <v>141</v>
      </c>
      <c r="L5" s="90" t="s">
        <v>107</v>
      </c>
      <c r="M5" s="90" t="s">
        <v>108</v>
      </c>
      <c r="N5" s="90" t="s">
        <v>111</v>
      </c>
      <c r="O5" s="90" t="s">
        <v>138</v>
      </c>
      <c r="P5" s="90" t="s">
        <v>141</v>
      </c>
      <c r="Q5" s="123"/>
      <c r="R5" s="123"/>
      <c r="S5" s="123"/>
      <c r="GW5" s="30" t="s">
        <v>83</v>
      </c>
    </row>
    <row r="6" spans="1:205" ht="39.950000000000003" customHeight="1" x14ac:dyDescent="0.2">
      <c r="A6" s="124" t="s">
        <v>1</v>
      </c>
      <c r="B6" s="92">
        <f>'Mesta U'!B7</f>
        <v>5</v>
      </c>
      <c r="C6" s="92">
        <f>'Mesta U'!C7</f>
        <v>7</v>
      </c>
      <c r="D6" s="92">
        <f>'Mesta U'!D7</f>
        <v>5</v>
      </c>
      <c r="E6" s="92">
        <f>'Mesta U'!E7</f>
        <v>3</v>
      </c>
      <c r="F6" s="92">
        <v>2</v>
      </c>
      <c r="G6" s="92">
        <f>'Mesta U'!G7</f>
        <v>44</v>
      </c>
      <c r="H6" s="92">
        <f>'Mesta U'!H7</f>
        <v>63</v>
      </c>
      <c r="I6" s="92">
        <f>'Mesta U'!I7</f>
        <v>47.222222222222221</v>
      </c>
      <c r="J6" s="92">
        <f>'Mesta U'!J7</f>
        <v>30.333333333333332</v>
      </c>
      <c r="K6" s="92">
        <v>21.31111111111111</v>
      </c>
      <c r="L6" s="93">
        <f t="shared" ref="L6:L23" si="0">G6*180/B6</f>
        <v>1584</v>
      </c>
      <c r="M6" s="93">
        <f t="shared" ref="M6:M23" si="1">H6*180/C6</f>
        <v>1620</v>
      </c>
      <c r="N6" s="93">
        <f t="shared" ref="N6:N23" si="2">I6*180/D6</f>
        <v>1700</v>
      </c>
      <c r="O6" s="93">
        <f t="shared" ref="O6:P23" si="3">J6*180/E6</f>
        <v>1820</v>
      </c>
      <c r="P6" s="93">
        <f t="shared" si="3"/>
        <v>1918</v>
      </c>
      <c r="Q6" s="123"/>
      <c r="R6" s="123"/>
      <c r="S6" s="123"/>
      <c r="GW6" s="32"/>
    </row>
    <row r="7" spans="1:205" ht="39.950000000000003" hidden="1" customHeight="1" x14ac:dyDescent="0.2">
      <c r="A7" s="124" t="s">
        <v>32</v>
      </c>
      <c r="B7" s="92">
        <f>'Mesta U'!B8</f>
        <v>0</v>
      </c>
      <c r="C7" s="92">
        <f>'Mesta U'!C8</f>
        <v>0.26600000000000001</v>
      </c>
      <c r="D7" s="92">
        <f>'Mesta U'!D8</f>
        <v>0.26300000000000001</v>
      </c>
      <c r="E7" s="92">
        <f>'Mesta U'!E8</f>
        <v>0</v>
      </c>
      <c r="F7" s="92"/>
      <c r="G7" s="92">
        <f>'Mesta U'!G8</f>
        <v>0</v>
      </c>
      <c r="H7" s="92">
        <f>'Mesta U'!H8</f>
        <v>0</v>
      </c>
      <c r="I7" s="92">
        <f>'Mesta U'!I8</f>
        <v>0</v>
      </c>
      <c r="J7" s="92">
        <f>'Mesta U'!J8</f>
        <v>0</v>
      </c>
      <c r="K7" s="92"/>
      <c r="L7" s="93" t="e">
        <f t="shared" si="0"/>
        <v>#DIV/0!</v>
      </c>
      <c r="M7" s="93">
        <f t="shared" si="1"/>
        <v>0</v>
      </c>
      <c r="N7" s="93">
        <f t="shared" si="2"/>
        <v>0</v>
      </c>
      <c r="O7" s="93" t="e">
        <f t="shared" si="3"/>
        <v>#DIV/0!</v>
      </c>
      <c r="P7" s="93" t="e">
        <f t="shared" si="3"/>
        <v>#DIV/0!</v>
      </c>
      <c r="Q7" s="123"/>
      <c r="R7" s="123"/>
      <c r="S7" s="123"/>
      <c r="GW7" s="32" t="e">
        <f t="shared" ref="GW7:GW22" si="4">GQ7*180/GJ7</f>
        <v>#DIV/0!</v>
      </c>
    </row>
    <row r="8" spans="1:205" ht="39.950000000000003" customHeight="1" x14ac:dyDescent="0.2">
      <c r="A8" s="124" t="s">
        <v>28</v>
      </c>
      <c r="B8" s="92">
        <f>'Jute '!B7+'Mesta U'!B9</f>
        <v>76.432000000000002</v>
      </c>
      <c r="C8" s="92">
        <f>'Jute '!C7+'Mesta U'!C9</f>
        <v>78.683999999999997</v>
      </c>
      <c r="D8" s="92">
        <f>'Jute '!D7+'Mesta U'!D9</f>
        <v>73.364000000000004</v>
      </c>
      <c r="E8" s="92">
        <f>'Jute '!E7+'Mesta U'!E9</f>
        <v>69.076000000000008</v>
      </c>
      <c r="F8" s="92">
        <v>67.468000000000004</v>
      </c>
      <c r="G8" s="92">
        <f>'Jute '!G7+'Mesta U'!G9</f>
        <v>894.06399999999996</v>
      </c>
      <c r="H8" s="92">
        <f>'Jute '!H7+'Mesta U'!H9</f>
        <v>824.09100000000001</v>
      </c>
      <c r="I8" s="92">
        <f>'Jute '!I7+'Mesta U'!I9</f>
        <v>861.46114444444447</v>
      </c>
      <c r="J8" s="92">
        <f>'Jute '!J7+'Mesta U'!J9</f>
        <v>781.41242222222229</v>
      </c>
      <c r="K8" s="92">
        <v>811.67179999999996</v>
      </c>
      <c r="L8" s="93">
        <f t="shared" si="0"/>
        <v>2105.5516014234872</v>
      </c>
      <c r="M8" s="93">
        <f t="shared" si="1"/>
        <v>1885.2165624523411</v>
      </c>
      <c r="N8" s="93">
        <f t="shared" si="2"/>
        <v>2113.611662395725</v>
      </c>
      <c r="O8" s="93">
        <f t="shared" si="3"/>
        <v>2036.2243905263765</v>
      </c>
      <c r="P8" s="93">
        <f t="shared" si="3"/>
        <v>2165.4847335032905</v>
      </c>
      <c r="Q8" s="153"/>
      <c r="R8" s="153"/>
      <c r="S8" s="153"/>
      <c r="GW8" s="32" t="e">
        <f t="shared" si="4"/>
        <v>#DIV/0!</v>
      </c>
    </row>
    <row r="9" spans="1:205" ht="39.950000000000003" customHeight="1" x14ac:dyDescent="0.2">
      <c r="A9" s="124" t="s">
        <v>40</v>
      </c>
      <c r="B9" s="92">
        <f>'Jute '!B8+'Mesta U'!B10</f>
        <v>110.38500000000001</v>
      </c>
      <c r="C9" s="92">
        <f>'Jute '!C8+'Mesta U'!C10</f>
        <v>107.703</v>
      </c>
      <c r="D9" s="92">
        <f>'Jute '!D8+'Mesta U'!D10</f>
        <v>104.199</v>
      </c>
      <c r="E9" s="92">
        <f>'Jute '!E8+'Mesta U'!E10</f>
        <v>85.117000000000004</v>
      </c>
      <c r="F9" s="92">
        <v>62.087000000000003</v>
      </c>
      <c r="G9" s="92">
        <f>'Jute '!G8+'Mesta U'!G10</f>
        <v>1630</v>
      </c>
      <c r="H9" s="92">
        <f>'Jute '!H8+'Mesta U'!H10</f>
        <v>1571</v>
      </c>
      <c r="I9" s="92">
        <f>'Jute '!I8+'Mesta U'!I10</f>
        <v>1280.0207166666664</v>
      </c>
      <c r="J9" s="92">
        <f>'Jute '!J8+'Mesta U'!J10</f>
        <v>1084.52935</v>
      </c>
      <c r="K9" s="92">
        <v>802.12176111111103</v>
      </c>
      <c r="L9" s="93">
        <f t="shared" si="0"/>
        <v>2657.9698328577251</v>
      </c>
      <c r="M9" s="93">
        <f t="shared" si="1"/>
        <v>2625.5536057491436</v>
      </c>
      <c r="N9" s="93">
        <f t="shared" si="2"/>
        <v>2211.1894451962107</v>
      </c>
      <c r="O9" s="93">
        <f t="shared" si="3"/>
        <v>2293.4934619406226</v>
      </c>
      <c r="P9" s="93">
        <f t="shared" si="3"/>
        <v>2325.4774268365354</v>
      </c>
      <c r="Q9" s="153"/>
      <c r="R9" s="153"/>
      <c r="S9" s="153"/>
      <c r="GW9" s="32" t="e">
        <f t="shared" si="4"/>
        <v>#DIV/0!</v>
      </c>
    </row>
    <row r="10" spans="1:205" ht="39.950000000000003" customHeight="1" x14ac:dyDescent="0.2">
      <c r="A10" s="124" t="s">
        <v>6</v>
      </c>
      <c r="B10" s="92">
        <f>'Mesta U'!B11</f>
        <v>1.2</v>
      </c>
      <c r="C10" s="92">
        <f>'Mesta U'!C11</f>
        <v>1.1000000000000001</v>
      </c>
      <c r="D10" s="92">
        <f>'Mesta U'!D11</f>
        <v>1.08</v>
      </c>
      <c r="E10" s="92">
        <f>'Mesta U'!E11</f>
        <v>1.1000000000000001</v>
      </c>
      <c r="F10" s="92">
        <v>0.97</v>
      </c>
      <c r="G10" s="92">
        <f>'Mesta U'!G11</f>
        <v>2.2999999999999998</v>
      </c>
      <c r="H10" s="92">
        <f>'Mesta U'!H11</f>
        <v>1.9</v>
      </c>
      <c r="I10" s="92">
        <f>'Mesta U'!I11</f>
        <v>2.0820000000000003</v>
      </c>
      <c r="J10" s="92">
        <f>'Mesta U'!J11</f>
        <v>2.1327777777777781</v>
      </c>
      <c r="K10" s="92">
        <v>1.9238333333333331</v>
      </c>
      <c r="L10" s="93">
        <f t="shared" si="0"/>
        <v>344.99999999999994</v>
      </c>
      <c r="M10" s="93">
        <f t="shared" si="1"/>
        <v>310.90909090909088</v>
      </c>
      <c r="N10" s="93">
        <f t="shared" si="2"/>
        <v>347</v>
      </c>
      <c r="O10" s="93">
        <f t="shared" si="3"/>
        <v>349</v>
      </c>
      <c r="P10" s="93">
        <f t="shared" si="3"/>
        <v>357</v>
      </c>
      <c r="Q10" s="153"/>
      <c r="R10" s="153"/>
      <c r="S10" s="153"/>
      <c r="GW10" s="32" t="e">
        <f t="shared" si="4"/>
        <v>#DIV/0!</v>
      </c>
    </row>
    <row r="11" spans="1:205" ht="39.950000000000003" hidden="1" customHeight="1" x14ac:dyDescent="0.2">
      <c r="A11" s="124" t="s">
        <v>50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3" t="e">
        <f t="shared" si="0"/>
        <v>#DIV/0!</v>
      </c>
      <c r="M11" s="93" t="e">
        <f t="shared" si="1"/>
        <v>#DIV/0!</v>
      </c>
      <c r="N11" s="93" t="e">
        <f t="shared" si="2"/>
        <v>#DIV/0!</v>
      </c>
      <c r="O11" s="93" t="e">
        <f t="shared" si="3"/>
        <v>#DIV/0!</v>
      </c>
      <c r="P11" s="93" t="e">
        <f t="shared" si="3"/>
        <v>#DIV/0!</v>
      </c>
      <c r="Q11" s="153"/>
      <c r="R11" s="153"/>
      <c r="S11" s="153"/>
      <c r="GW11" s="32" t="e">
        <f t="shared" si="4"/>
        <v>#DIV/0!</v>
      </c>
    </row>
    <row r="12" spans="1:205" ht="39.950000000000003" customHeight="1" x14ac:dyDescent="0.2">
      <c r="A12" s="124" t="s">
        <v>11</v>
      </c>
      <c r="B12" s="92">
        <f>'Mesta U'!B12</f>
        <v>0</v>
      </c>
      <c r="C12" s="92">
        <f>'Mesta U'!C12</f>
        <v>0.1</v>
      </c>
      <c r="D12" s="92">
        <f>'Mesta U'!D12</f>
        <v>0</v>
      </c>
      <c r="E12" s="92">
        <f>'Mesta U'!E12</f>
        <v>0</v>
      </c>
      <c r="F12" s="92">
        <v>0</v>
      </c>
      <c r="G12" s="92">
        <f>'Mesta U'!G12</f>
        <v>0</v>
      </c>
      <c r="H12" s="92">
        <f>'Mesta U'!H12</f>
        <v>0.1</v>
      </c>
      <c r="I12" s="92">
        <f>'Mesta U'!I12</f>
        <v>0</v>
      </c>
      <c r="J12" s="92">
        <f>'Mesta U'!J12</f>
        <v>0</v>
      </c>
      <c r="K12" s="92">
        <v>0</v>
      </c>
      <c r="L12" s="93" t="e">
        <f t="shared" si="0"/>
        <v>#DIV/0!</v>
      </c>
      <c r="M12" s="93">
        <f t="shared" si="1"/>
        <v>180</v>
      </c>
      <c r="N12" s="93" t="e">
        <f t="shared" si="2"/>
        <v>#DIV/0!</v>
      </c>
      <c r="O12" s="93" t="e">
        <f t="shared" si="3"/>
        <v>#DIV/0!</v>
      </c>
      <c r="P12" s="93" t="e">
        <f t="shared" si="3"/>
        <v>#DIV/0!</v>
      </c>
      <c r="Q12" s="153"/>
      <c r="R12" s="153"/>
      <c r="S12" s="153"/>
      <c r="GW12" s="32" t="e">
        <f t="shared" si="4"/>
        <v>#DIV/0!</v>
      </c>
    </row>
    <row r="13" spans="1:205" ht="39.950000000000003" customHeight="1" x14ac:dyDescent="0.2">
      <c r="A13" s="124" t="s">
        <v>13</v>
      </c>
      <c r="B13" s="92">
        <f>'Jute '!B9+'Mesta U'!B13</f>
        <v>8</v>
      </c>
      <c r="C13" s="92">
        <f>'Jute '!C9+'Mesta U'!C13</f>
        <v>8</v>
      </c>
      <c r="D13" s="92">
        <f>'Jute '!D9+'Mesta U'!D13</f>
        <v>8</v>
      </c>
      <c r="E13" s="92">
        <f>'Jute '!E9+'Mesta U'!E13</f>
        <v>0</v>
      </c>
      <c r="F13" s="92">
        <v>1</v>
      </c>
      <c r="G13" s="92">
        <f>'Jute '!G9+'Mesta U'!G13</f>
        <v>6</v>
      </c>
      <c r="H13" s="92">
        <f>'Jute '!H9+'Mesta U'!H13</f>
        <v>7</v>
      </c>
      <c r="I13" s="92">
        <f>'Jute '!I9+'Mesta U'!I13</f>
        <v>11</v>
      </c>
      <c r="J13" s="92">
        <f>'Jute '!J9+'Mesta U'!J13</f>
        <v>0</v>
      </c>
      <c r="K13" s="92">
        <v>2.1833333333333331</v>
      </c>
      <c r="L13" s="93">
        <f t="shared" si="0"/>
        <v>135</v>
      </c>
      <c r="M13" s="93">
        <f t="shared" si="1"/>
        <v>157.5</v>
      </c>
      <c r="N13" s="93">
        <f t="shared" si="2"/>
        <v>247.5</v>
      </c>
      <c r="O13" s="93" t="e">
        <f t="shared" si="3"/>
        <v>#DIV/0!</v>
      </c>
      <c r="P13" s="93">
        <f t="shared" si="3"/>
        <v>392.99999999999994</v>
      </c>
      <c r="Q13" s="153"/>
      <c r="R13" s="153"/>
      <c r="S13" s="153"/>
      <c r="GW13" s="32" t="e">
        <f t="shared" si="4"/>
        <v>#DIV/0!</v>
      </c>
    </row>
    <row r="14" spans="1:205" ht="39.950000000000003" hidden="1" customHeight="1" x14ac:dyDescent="0.2">
      <c r="A14" s="124" t="s">
        <v>14</v>
      </c>
      <c r="B14" s="92">
        <f>'Mesta U'!B14</f>
        <v>0</v>
      </c>
      <c r="C14" s="92">
        <f>'Mesta U'!C14</f>
        <v>0</v>
      </c>
      <c r="D14" s="92">
        <f>'Mesta U'!D14</f>
        <v>0</v>
      </c>
      <c r="E14" s="92">
        <f>'Mesta U'!E14</f>
        <v>0</v>
      </c>
      <c r="F14" s="92"/>
      <c r="G14" s="92">
        <f>'Mesta U'!G14</f>
        <v>0</v>
      </c>
      <c r="H14" s="92">
        <f>'Mesta U'!H14</f>
        <v>0</v>
      </c>
      <c r="I14" s="92">
        <f>'Mesta U'!I14</f>
        <v>0</v>
      </c>
      <c r="J14" s="92">
        <f>'Mesta U'!J14</f>
        <v>0</v>
      </c>
      <c r="K14" s="92"/>
      <c r="L14" s="93" t="e">
        <f t="shared" si="0"/>
        <v>#DIV/0!</v>
      </c>
      <c r="M14" s="93" t="e">
        <f t="shared" si="1"/>
        <v>#DIV/0!</v>
      </c>
      <c r="N14" s="93" t="e">
        <f t="shared" si="2"/>
        <v>#DIV/0!</v>
      </c>
      <c r="O14" s="93" t="e">
        <f t="shared" si="3"/>
        <v>#DIV/0!</v>
      </c>
      <c r="P14" s="93" t="e">
        <f t="shared" si="3"/>
        <v>#DIV/0!</v>
      </c>
      <c r="Q14" s="153"/>
      <c r="R14" s="153"/>
      <c r="S14" s="153"/>
      <c r="GW14" s="32" t="e">
        <f t="shared" si="4"/>
        <v>#DIV/0!</v>
      </c>
    </row>
    <row r="15" spans="1:205" ht="39.950000000000003" customHeight="1" x14ac:dyDescent="0.2">
      <c r="A15" s="124" t="s">
        <v>37</v>
      </c>
      <c r="B15" s="92">
        <f>'Jute '!B10+'Mesta U'!B15</f>
        <v>11.128</v>
      </c>
      <c r="C15" s="92">
        <f>'Jute '!C10+'Mesta U'!C15</f>
        <v>11.129999999999999</v>
      </c>
      <c r="D15" s="92">
        <f>'Jute '!D10+'Mesta U'!D15</f>
        <v>11.143000000000001</v>
      </c>
      <c r="E15" s="92">
        <f>'Jute '!E10+'Mesta U'!E15</f>
        <v>11.152999999999999</v>
      </c>
      <c r="F15" s="92">
        <v>11.16</v>
      </c>
      <c r="G15" s="92">
        <f>'Jute '!G10+'Mesta U'!G15</f>
        <v>94.544000000000011</v>
      </c>
      <c r="H15" s="92">
        <f>'Jute '!H10+'Mesta U'!H15</f>
        <v>94.67</v>
      </c>
      <c r="I15" s="92">
        <f>'Jute '!I10+'Mesta U'!I15</f>
        <v>94.820561111111118</v>
      </c>
      <c r="J15" s="92">
        <f>'Jute '!J10+'Mesta U'!J15</f>
        <v>94.926199999999994</v>
      </c>
      <c r="K15" s="92">
        <v>95.001111111111115</v>
      </c>
      <c r="L15" s="93">
        <f t="shared" si="0"/>
        <v>1529.2882818116464</v>
      </c>
      <c r="M15" s="93">
        <f t="shared" si="1"/>
        <v>1531.0512129380054</v>
      </c>
      <c r="N15" s="93">
        <f t="shared" si="2"/>
        <v>1531.6971192677017</v>
      </c>
      <c r="O15" s="93">
        <f t="shared" si="3"/>
        <v>1532.0286918317943</v>
      </c>
      <c r="P15" s="93">
        <f t="shared" si="3"/>
        <v>1532.2759856630826</v>
      </c>
      <c r="Q15" s="153"/>
      <c r="R15" s="153"/>
      <c r="S15" s="153"/>
      <c r="GW15" s="32" t="e">
        <f t="shared" si="4"/>
        <v>#DIV/0!</v>
      </c>
    </row>
    <row r="16" spans="1:205" ht="39.950000000000003" customHeight="1" x14ac:dyDescent="0.2">
      <c r="A16" s="124" t="s">
        <v>15</v>
      </c>
      <c r="B16" s="92">
        <f>'Jute '!B11+'Mesta U'!B16</f>
        <v>4.91</v>
      </c>
      <c r="C16" s="92">
        <f>'Jute '!C11+'Mesta U'!C16</f>
        <v>4.9499999999999993</v>
      </c>
      <c r="D16" s="92">
        <f>'Jute '!D11+'Mesta U'!D16</f>
        <v>4.9800000000000004</v>
      </c>
      <c r="E16" s="92">
        <f>'Jute '!E11+'Mesta U'!E16</f>
        <v>5.01</v>
      </c>
      <c r="F16" s="92">
        <v>5.04</v>
      </c>
      <c r="G16" s="92">
        <f>'Jute '!G11+'Mesta U'!G16</f>
        <v>7.88</v>
      </c>
      <c r="H16" s="92">
        <f>'Jute '!H11+'Mesta U'!H16</f>
        <v>7.9399999999999995</v>
      </c>
      <c r="I16" s="92">
        <f>'Jute '!I11+'Mesta U'!I16</f>
        <v>44.277666666666669</v>
      </c>
      <c r="J16" s="92">
        <f>'Jute '!J11+'Mesta U'!J16</f>
        <v>44.451111111111111</v>
      </c>
      <c r="K16" s="92">
        <v>44.635111111111115</v>
      </c>
      <c r="L16" s="93">
        <f t="shared" si="0"/>
        <v>288.87983706720979</v>
      </c>
      <c r="M16" s="93">
        <f t="shared" si="1"/>
        <v>288.72727272727275</v>
      </c>
      <c r="N16" s="93">
        <f t="shared" si="2"/>
        <v>1600.3975903614457</v>
      </c>
      <c r="O16" s="93">
        <f t="shared" si="3"/>
        <v>1597.0459081836327</v>
      </c>
      <c r="P16" s="93">
        <f t="shared" si="3"/>
        <v>1594.1111111111113</v>
      </c>
      <c r="Q16" s="153"/>
      <c r="R16" s="153"/>
      <c r="S16" s="153"/>
      <c r="GW16" s="32" t="e">
        <f t="shared" si="4"/>
        <v>#DIV/0!</v>
      </c>
    </row>
    <row r="17" spans="1:205" ht="39.950000000000003" customHeight="1" x14ac:dyDescent="0.2">
      <c r="A17" s="124" t="s">
        <v>101</v>
      </c>
      <c r="B17" s="92">
        <f>'Jute '!B12+'Mesta U'!B17</f>
        <v>9.8899999999999988</v>
      </c>
      <c r="C17" s="92">
        <f>'Jute '!C12+'Mesta U'!C17</f>
        <v>7.14</v>
      </c>
      <c r="D17" s="92">
        <f>'Jute '!D12+'Mesta U'!D17</f>
        <v>7.21</v>
      </c>
      <c r="E17" s="92">
        <f>'Jute '!E12+'Mesta U'!E17</f>
        <v>0.2</v>
      </c>
      <c r="F17" s="92">
        <v>4.8400000000000007</v>
      </c>
      <c r="G17" s="92">
        <f>'Jute '!G12+'Mesta U'!G17</f>
        <v>56.78</v>
      </c>
      <c r="H17" s="92">
        <f>'Jute '!H12+'Mesta U'!H17</f>
        <v>32.78</v>
      </c>
      <c r="I17" s="92">
        <f>'Jute '!I12+'Mesta U'!I17</f>
        <v>44.243555555555552</v>
      </c>
      <c r="J17" s="92">
        <f>'Jute '!J12+'Mesta U'!J17</f>
        <v>1.7333333333333334</v>
      </c>
      <c r="K17" s="92">
        <v>25.231444444444449</v>
      </c>
      <c r="L17" s="93">
        <f t="shared" si="0"/>
        <v>1033.4074823053591</v>
      </c>
      <c r="M17" s="93">
        <f t="shared" si="1"/>
        <v>826.38655462184886</v>
      </c>
      <c r="N17" s="93">
        <f t="shared" si="2"/>
        <v>1104.5547850208043</v>
      </c>
      <c r="O17" s="93">
        <f t="shared" si="3"/>
        <v>1560</v>
      </c>
      <c r="P17" s="93">
        <f t="shared" si="3"/>
        <v>938.35950413223145</v>
      </c>
      <c r="Q17" s="153"/>
      <c r="R17" s="153"/>
      <c r="S17" s="153"/>
      <c r="GW17" s="32" t="e">
        <f t="shared" si="4"/>
        <v>#DIV/0!</v>
      </c>
    </row>
    <row r="18" spans="1:205" ht="39.950000000000003" hidden="1" customHeight="1" x14ac:dyDescent="0.2">
      <c r="A18" s="124" t="s">
        <v>19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3" t="e">
        <f t="shared" si="0"/>
        <v>#DIV/0!</v>
      </c>
      <c r="M18" s="93" t="e">
        <f t="shared" si="1"/>
        <v>#DIV/0!</v>
      </c>
      <c r="N18" s="93" t="e">
        <f t="shared" si="2"/>
        <v>#DIV/0!</v>
      </c>
      <c r="O18" s="93" t="e">
        <f t="shared" si="3"/>
        <v>#DIV/0!</v>
      </c>
      <c r="P18" s="93" t="e">
        <f t="shared" si="3"/>
        <v>#DIV/0!</v>
      </c>
      <c r="Q18" s="153"/>
      <c r="R18" s="153"/>
      <c r="S18" s="153"/>
      <c r="GW18" s="32"/>
    </row>
    <row r="19" spans="1:205" ht="39.950000000000003" hidden="1" customHeight="1" thickBot="1" x14ac:dyDescent="0.25">
      <c r="A19" s="124" t="s">
        <v>19</v>
      </c>
      <c r="B19" s="92">
        <f>'Mesta U'!B18</f>
        <v>0</v>
      </c>
      <c r="C19" s="92">
        <f>'Mesta U'!C18</f>
        <v>0</v>
      </c>
      <c r="D19" s="92">
        <f>'Mesta U'!D18</f>
        <v>0</v>
      </c>
      <c r="E19" s="92">
        <f>'Mesta U'!E18</f>
        <v>0</v>
      </c>
      <c r="F19" s="92"/>
      <c r="G19" s="92">
        <f>'Mesta U'!G18</f>
        <v>0</v>
      </c>
      <c r="H19" s="92">
        <f>'Mesta U'!H18</f>
        <v>0</v>
      </c>
      <c r="I19" s="92">
        <f>'Mesta U'!I18</f>
        <v>0</v>
      </c>
      <c r="J19" s="92">
        <f>'Mesta U'!J18</f>
        <v>0</v>
      </c>
      <c r="K19" s="92"/>
      <c r="L19" s="93" t="e">
        <f t="shared" si="0"/>
        <v>#DIV/0!</v>
      </c>
      <c r="M19" s="93" t="e">
        <f t="shared" si="1"/>
        <v>#DIV/0!</v>
      </c>
      <c r="N19" s="93" t="e">
        <f t="shared" si="2"/>
        <v>#DIV/0!</v>
      </c>
      <c r="O19" s="93" t="e">
        <f t="shared" si="3"/>
        <v>#DIV/0!</v>
      </c>
      <c r="P19" s="93" t="e">
        <f t="shared" si="3"/>
        <v>#DIV/0!</v>
      </c>
      <c r="Q19" s="153"/>
      <c r="R19" s="153"/>
      <c r="S19" s="153"/>
      <c r="GW19" s="32"/>
    </row>
    <row r="20" spans="1:205" ht="39.950000000000003" hidden="1" customHeight="1" thickBot="1" x14ac:dyDescent="0.25">
      <c r="A20" s="124" t="s">
        <v>103</v>
      </c>
      <c r="B20" s="92">
        <f>'Mesta U'!B19</f>
        <v>0</v>
      </c>
      <c r="C20" s="92">
        <f>'Mesta U'!C19</f>
        <v>0</v>
      </c>
      <c r="D20" s="92">
        <f>'Mesta U'!D19</f>
        <v>0</v>
      </c>
      <c r="E20" s="92">
        <f>'Mesta U'!E19</f>
        <v>0</v>
      </c>
      <c r="F20" s="92"/>
      <c r="G20" s="92">
        <f>'Mesta U'!G19</f>
        <v>0</v>
      </c>
      <c r="H20" s="92">
        <f>'Mesta U'!H19</f>
        <v>0</v>
      </c>
      <c r="I20" s="92">
        <f>'Mesta U'!I19</f>
        <v>0</v>
      </c>
      <c r="J20" s="92">
        <f>'Mesta U'!J19</f>
        <v>0</v>
      </c>
      <c r="K20" s="92"/>
      <c r="L20" s="93" t="e">
        <f t="shared" si="0"/>
        <v>#DIV/0!</v>
      </c>
      <c r="M20" s="93" t="e">
        <f t="shared" si="1"/>
        <v>#DIV/0!</v>
      </c>
      <c r="N20" s="93" t="e">
        <f t="shared" si="2"/>
        <v>#DIV/0!</v>
      </c>
      <c r="O20" s="93" t="e">
        <f t="shared" si="3"/>
        <v>#DIV/0!</v>
      </c>
      <c r="P20" s="93" t="e">
        <f t="shared" si="3"/>
        <v>#DIV/0!</v>
      </c>
      <c r="Q20" s="153"/>
      <c r="R20" s="153"/>
      <c r="S20" s="153"/>
      <c r="GW20" s="32" t="e">
        <f t="shared" si="4"/>
        <v>#DIV/0!</v>
      </c>
    </row>
    <row r="21" spans="1:205" ht="39.950000000000003" customHeight="1" thickBot="1" x14ac:dyDescent="0.25">
      <c r="A21" s="124" t="s">
        <v>52</v>
      </c>
      <c r="B21" s="94">
        <f>'Jute '!B13+'Mesta U'!B20</f>
        <v>1.2770000000000001</v>
      </c>
      <c r="C21" s="94">
        <f>'Jute '!C13+'Mesta U'!C20</f>
        <v>1.173</v>
      </c>
      <c r="D21" s="94">
        <f>'Jute '!D13+'Mesta U'!D20</f>
        <v>1.0920000000000001</v>
      </c>
      <c r="E21" s="94">
        <f>'Jute '!E13+'Mesta U'!E20</f>
        <v>1.149</v>
      </c>
      <c r="F21" s="94">
        <v>1.05</v>
      </c>
      <c r="G21" s="94">
        <f>'Jute '!G13+'Mesta U'!G20</f>
        <v>11.231</v>
      </c>
      <c r="H21" s="94">
        <f>'Jute '!H13+'Mesta U'!H20</f>
        <v>10.33</v>
      </c>
      <c r="I21" s="94">
        <f>'Jute '!I13+'Mesta U'!I20</f>
        <v>9.9610000000000003</v>
      </c>
      <c r="J21" s="94">
        <f>'Jute '!J13+'Mesta U'!J20</f>
        <v>9.9549999999999983</v>
      </c>
      <c r="K21" s="94">
        <v>5.3</v>
      </c>
      <c r="L21" s="93">
        <f t="shared" si="0"/>
        <v>1583.0696945967109</v>
      </c>
      <c r="M21" s="93">
        <f t="shared" si="1"/>
        <v>1585.1662404092071</v>
      </c>
      <c r="N21" s="93">
        <f t="shared" si="2"/>
        <v>1641.9230769230769</v>
      </c>
      <c r="O21" s="93">
        <f t="shared" si="3"/>
        <v>1559.5300261096602</v>
      </c>
      <c r="P21" s="93">
        <f t="shared" si="3"/>
        <v>908.57142857142856</v>
      </c>
      <c r="Q21" s="153"/>
      <c r="R21" s="153"/>
      <c r="S21" s="153"/>
      <c r="GW21" s="32" t="e">
        <f t="shared" si="4"/>
        <v>#DIV/0!</v>
      </c>
    </row>
    <row r="22" spans="1:205" ht="39.950000000000003" customHeight="1" thickBot="1" x14ac:dyDescent="0.25">
      <c r="A22" s="124" t="s">
        <v>23</v>
      </c>
      <c r="B22" s="92">
        <f>'Jute '!B14+'Mesta U'!B21</f>
        <v>554.07900000000006</v>
      </c>
      <c r="C22" s="92">
        <f>'Jute '!C14+'Mesta U'!C21</f>
        <v>536.16500000000008</v>
      </c>
      <c r="D22" s="92">
        <f>'Jute '!D14+'Mesta U'!D21</f>
        <v>525.44000000000005</v>
      </c>
      <c r="E22" s="92">
        <f>'Jute '!E14+'Mesta U'!E21</f>
        <v>529.01</v>
      </c>
      <c r="F22" s="92">
        <v>517.66</v>
      </c>
      <c r="G22" s="92">
        <f>'Jute '!G14+'Mesta U'!G21</f>
        <v>7776.7820000000002</v>
      </c>
      <c r="H22" s="92">
        <f>'Jute '!H14+'Mesta U'!H21</f>
        <v>8349.5889999999999</v>
      </c>
      <c r="I22" s="92">
        <f>'Jute '!I14+'Mesta U'!I21</f>
        <v>7637.8499999999995</v>
      </c>
      <c r="J22" s="92">
        <f>'Jute '!J14+'Mesta U'!J21</f>
        <v>7770.2294333261189</v>
      </c>
      <c r="K22" s="92">
        <v>8067.3842777777782</v>
      </c>
      <c r="L22" s="93">
        <f t="shared" si="0"/>
        <v>2526.3920126913308</v>
      </c>
      <c r="M22" s="93">
        <f t="shared" si="1"/>
        <v>2803.1035595385747</v>
      </c>
      <c r="N22" s="93">
        <f t="shared" si="2"/>
        <v>2616.4985535931787</v>
      </c>
      <c r="O22" s="93">
        <f t="shared" si="3"/>
        <v>2643.8844218421232</v>
      </c>
      <c r="P22" s="93">
        <f t="shared" si="3"/>
        <v>2805.179403469459</v>
      </c>
      <c r="Q22" s="153"/>
      <c r="R22" s="153"/>
      <c r="S22" s="153"/>
      <c r="GW22" s="34" t="e">
        <f t="shared" si="4"/>
        <v>#DIV/0!</v>
      </c>
    </row>
    <row r="23" spans="1:205" s="68" customFormat="1" ht="33" customHeight="1" x14ac:dyDescent="0.2">
      <c r="A23" s="124" t="s">
        <v>44</v>
      </c>
      <c r="B23" s="121">
        <f>'Jute '!B15+'Mesta U'!B22</f>
        <v>782.30100000000004</v>
      </c>
      <c r="C23" s="121">
        <f>'Jute '!C15+'Mesta U'!C22</f>
        <v>763.41</v>
      </c>
      <c r="D23" s="121">
        <f>'Jute '!D15+'Mesta U'!D22</f>
        <v>741.77100000000007</v>
      </c>
      <c r="E23" s="121">
        <f>'Jute '!E15+'Mesta U'!E22</f>
        <v>704.81500000000005</v>
      </c>
      <c r="F23" s="121">
        <f>'Jute '!F15+'Mesta U'!F22</f>
        <v>673.27499999999998</v>
      </c>
      <c r="G23" s="121">
        <f>'Jute '!G15+'Mesta U'!G22</f>
        <v>10523.581</v>
      </c>
      <c r="H23" s="121">
        <f>'Jute '!H15+'Mesta U'!H22</f>
        <v>10962.400000000001</v>
      </c>
      <c r="I23" s="121">
        <f>'Jute '!I15+'Mesta U'!I22</f>
        <v>10032.938866666665</v>
      </c>
      <c r="J23" s="121">
        <f>'Jute '!J15+'Mesta U'!J22</f>
        <v>9819.7029611038979</v>
      </c>
      <c r="K23" s="121">
        <f>'Jute '!K15+'Mesta U'!K22</f>
        <v>9876.763783333332</v>
      </c>
      <c r="L23" s="125">
        <f t="shared" si="0"/>
        <v>2421.3756341868411</v>
      </c>
      <c r="M23" s="125">
        <f t="shared" si="1"/>
        <v>2584.7604825716198</v>
      </c>
      <c r="N23" s="125">
        <f t="shared" si="2"/>
        <v>2434.6179562155971</v>
      </c>
      <c r="O23" s="125">
        <f t="shared" si="3"/>
        <v>2507.8162822849986</v>
      </c>
      <c r="P23" s="125">
        <f t="shared" si="3"/>
        <v>2640.5517522557643</v>
      </c>
      <c r="Q23" s="154"/>
      <c r="R23" s="154"/>
      <c r="S23" s="154"/>
    </row>
    <row r="24" spans="1:205" ht="18" x14ac:dyDescent="0.2">
      <c r="A24" s="25"/>
      <c r="B24" s="22"/>
      <c r="C24" s="22"/>
      <c r="D24" s="22"/>
      <c r="E24" s="22"/>
      <c r="F24" s="22"/>
      <c r="G24" s="35"/>
      <c r="H24" s="35"/>
      <c r="I24" s="35"/>
      <c r="J24" s="35"/>
      <c r="K24" s="35"/>
    </row>
    <row r="30" spans="1:205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205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mergeCells count="5">
    <mergeCell ref="A4:A5"/>
    <mergeCell ref="A2:M2"/>
    <mergeCell ref="B4:F4"/>
    <mergeCell ref="G4:K4"/>
    <mergeCell ref="L4:P4"/>
  </mergeCells>
  <phoneticPr fontId="9" type="noConversion"/>
  <printOptions horizontalCentered="1" verticalCentered="1"/>
  <pageMargins left="0" right="0" top="0.11811023622047245" bottom="0.23622047244094491" header="0.11811023622047245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6"/>
  <sheetViews>
    <sheetView view="pageBreakPreview" zoomScale="60" zoomScaleNormal="60" workbookViewId="0">
      <pane xSplit="2" ySplit="5" topLeftCell="C6" activePane="bottomRight" state="frozen"/>
      <selection pane="topRight"/>
      <selection pane="bottomLeft"/>
      <selection pane="bottomRight" activeCell="A71" sqref="A71:L76"/>
    </sheetView>
  </sheetViews>
  <sheetFormatPr defaultRowHeight="16.5" x14ac:dyDescent="0.2"/>
  <cols>
    <col min="1" max="1" width="27.42578125" style="5" customWidth="1"/>
    <col min="2" max="2" width="12.42578125" style="5" customWidth="1"/>
    <col min="3" max="3" width="12.140625" style="40" customWidth="1"/>
    <col min="4" max="4" width="11.28515625" style="40" customWidth="1"/>
    <col min="5" max="7" width="11.5703125" style="9" customWidth="1"/>
    <col min="8" max="12" width="11" style="9" customWidth="1"/>
    <col min="13" max="20" width="11.28515625" style="5" customWidth="1"/>
    <col min="21" max="16384" width="9.140625" style="5"/>
  </cols>
  <sheetData>
    <row r="1" spans="1:20" x14ac:dyDescent="0.2">
      <c r="A1" s="6"/>
      <c r="B1" s="6"/>
      <c r="C1" s="168"/>
      <c r="D1" s="168"/>
      <c r="E1" s="181"/>
      <c r="F1" s="181"/>
      <c r="G1" s="181"/>
      <c r="H1" s="181"/>
      <c r="I1" s="181"/>
      <c r="J1" s="181"/>
      <c r="K1" s="181"/>
      <c r="L1" s="181"/>
      <c r="M1" s="6"/>
      <c r="N1" s="6"/>
      <c r="O1" s="6"/>
      <c r="P1" s="6"/>
      <c r="Q1" s="6"/>
    </row>
    <row r="2" spans="1:20" ht="16.5" customHeight="1" x14ac:dyDescent="0.2">
      <c r="A2" s="6"/>
      <c r="B2" s="6"/>
      <c r="C2" s="168"/>
      <c r="D2" s="168"/>
      <c r="E2" s="181"/>
      <c r="F2" s="181"/>
      <c r="G2" s="181"/>
      <c r="H2" s="181"/>
      <c r="I2" s="181"/>
      <c r="J2" s="181"/>
      <c r="K2" s="181"/>
      <c r="L2" s="181"/>
      <c r="M2" s="6"/>
      <c r="N2" s="6"/>
      <c r="O2" s="6"/>
      <c r="P2" s="6"/>
      <c r="Q2" s="6"/>
    </row>
    <row r="3" spans="1:20" ht="42.75" customHeight="1" x14ac:dyDescent="0.2">
      <c r="A3" s="227" t="s">
        <v>100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6"/>
      <c r="P3" s="6"/>
      <c r="Q3" s="6"/>
      <c r="R3" s="6"/>
      <c r="S3" s="6"/>
      <c r="T3" s="6"/>
    </row>
    <row r="4" spans="1:20" ht="19.5" customHeight="1" x14ac:dyDescent="0.2">
      <c r="A4" s="209" t="s">
        <v>140</v>
      </c>
      <c r="B4" s="213" t="s">
        <v>79</v>
      </c>
      <c r="C4" s="220" t="s">
        <v>114</v>
      </c>
      <c r="D4" s="221"/>
      <c r="E4" s="221"/>
      <c r="F4" s="221"/>
      <c r="G4" s="222"/>
      <c r="H4" s="220" t="s">
        <v>81</v>
      </c>
      <c r="I4" s="221"/>
      <c r="J4" s="221"/>
      <c r="K4" s="221"/>
      <c r="L4" s="222"/>
      <c r="M4" s="213" t="s">
        <v>78</v>
      </c>
      <c r="N4" s="213"/>
      <c r="O4" s="213"/>
      <c r="P4" s="213"/>
      <c r="Q4" s="213"/>
      <c r="R4" s="108"/>
      <c r="S4" s="108"/>
      <c r="T4" s="108"/>
    </row>
    <row r="5" spans="1:20" ht="25.5" customHeight="1" x14ac:dyDescent="0.2">
      <c r="A5" s="209"/>
      <c r="B5" s="213"/>
      <c r="C5" s="99" t="s">
        <v>107</v>
      </c>
      <c r="D5" s="99" t="s">
        <v>108</v>
      </c>
      <c r="E5" s="164" t="s">
        <v>111</v>
      </c>
      <c r="F5" s="164" t="s">
        <v>138</v>
      </c>
      <c r="G5" s="164" t="s">
        <v>141</v>
      </c>
      <c r="H5" s="99" t="s">
        <v>107</v>
      </c>
      <c r="I5" s="99" t="s">
        <v>108</v>
      </c>
      <c r="J5" s="164" t="s">
        <v>111</v>
      </c>
      <c r="K5" s="164" t="s">
        <v>138</v>
      </c>
      <c r="L5" s="164" t="s">
        <v>141</v>
      </c>
      <c r="M5" s="99" t="s">
        <v>107</v>
      </c>
      <c r="N5" s="99" t="s">
        <v>108</v>
      </c>
      <c r="O5" s="164" t="s">
        <v>111</v>
      </c>
      <c r="P5" s="164" t="s">
        <v>138</v>
      </c>
      <c r="Q5" s="164" t="s">
        <v>141</v>
      </c>
      <c r="R5" s="108"/>
      <c r="S5" s="108"/>
      <c r="T5" s="108"/>
    </row>
    <row r="6" spans="1:20" ht="21.75" customHeight="1" x14ac:dyDescent="0.2">
      <c r="A6" s="223" t="s">
        <v>1</v>
      </c>
      <c r="B6" s="100" t="s">
        <v>2</v>
      </c>
      <c r="C6" s="78">
        <v>682</v>
      </c>
      <c r="D6" s="78">
        <v>933</v>
      </c>
      <c r="E6" s="78">
        <v>648</v>
      </c>
      <c r="F6" s="78">
        <v>687</v>
      </c>
      <c r="G6" s="78">
        <v>568</v>
      </c>
      <c r="H6" s="78">
        <v>598</v>
      </c>
      <c r="I6" s="78">
        <v>391</v>
      </c>
      <c r="J6" s="78">
        <v>836.56799999999998</v>
      </c>
      <c r="K6" s="78">
        <v>332.50799999999998</v>
      </c>
      <c r="L6" s="78">
        <v>621.96</v>
      </c>
      <c r="M6" s="76">
        <f t="shared" ref="M6:M28" si="0">H6/C6*1000</f>
        <v>876.8328445747801</v>
      </c>
      <c r="N6" s="76">
        <f t="shared" ref="N6:N28" si="1">I6/D6*1000</f>
        <v>419.07824222936762</v>
      </c>
      <c r="O6" s="76">
        <f t="shared" ref="O6:O28" si="2">J6/E6*1000</f>
        <v>1291</v>
      </c>
      <c r="P6" s="76">
        <f t="shared" ref="P6:Q28" si="3">K6/F6*1000</f>
        <v>484</v>
      </c>
      <c r="Q6" s="76">
        <f t="shared" si="3"/>
        <v>1095</v>
      </c>
      <c r="R6" s="135"/>
      <c r="S6" s="135"/>
      <c r="T6" s="135"/>
    </row>
    <row r="7" spans="1:20" ht="21.75" customHeight="1" x14ac:dyDescent="0.2">
      <c r="A7" s="223"/>
      <c r="B7" s="100" t="s">
        <v>71</v>
      </c>
      <c r="C7" s="78">
        <v>93</v>
      </c>
      <c r="D7" s="78">
        <v>80</v>
      </c>
      <c r="E7" s="78">
        <v>87</v>
      </c>
      <c r="F7" s="78">
        <v>61</v>
      </c>
      <c r="G7" s="78">
        <v>93</v>
      </c>
      <c r="H7" s="78">
        <v>203</v>
      </c>
      <c r="I7" s="78">
        <v>212</v>
      </c>
      <c r="J7" s="78">
        <v>211.845</v>
      </c>
      <c r="K7" s="78">
        <v>129.44200000000001</v>
      </c>
      <c r="L7" s="78">
        <v>226.827</v>
      </c>
      <c r="M7" s="76">
        <f t="shared" si="0"/>
        <v>2182.7956989247309</v>
      </c>
      <c r="N7" s="76">
        <f t="shared" si="1"/>
        <v>2650</v>
      </c>
      <c r="O7" s="76">
        <f t="shared" si="2"/>
        <v>2435</v>
      </c>
      <c r="P7" s="76">
        <f t="shared" si="3"/>
        <v>2122.0000000000005</v>
      </c>
      <c r="Q7" s="76">
        <f t="shared" si="3"/>
        <v>2439</v>
      </c>
      <c r="R7" s="135"/>
      <c r="S7" s="135"/>
      <c r="T7" s="135"/>
    </row>
    <row r="8" spans="1:20" ht="21.75" customHeight="1" x14ac:dyDescent="0.2">
      <c r="A8" s="223"/>
      <c r="B8" s="166" t="s">
        <v>72</v>
      </c>
      <c r="C8" s="80">
        <f t="shared" ref="C8:I8" si="4">C7+C6</f>
        <v>775</v>
      </c>
      <c r="D8" s="80">
        <f t="shared" si="4"/>
        <v>1013</v>
      </c>
      <c r="E8" s="80">
        <f>E6+E7</f>
        <v>735</v>
      </c>
      <c r="F8" s="80">
        <v>748</v>
      </c>
      <c r="G8" s="80">
        <v>661</v>
      </c>
      <c r="H8" s="80">
        <f t="shared" si="4"/>
        <v>801</v>
      </c>
      <c r="I8" s="80">
        <f t="shared" si="4"/>
        <v>603</v>
      </c>
      <c r="J8" s="80">
        <f>J6+J7</f>
        <v>1048.413</v>
      </c>
      <c r="K8" s="80">
        <v>461.95</v>
      </c>
      <c r="L8" s="80">
        <v>848.78700000000003</v>
      </c>
      <c r="M8" s="77">
        <f t="shared" si="0"/>
        <v>1033.5483870967741</v>
      </c>
      <c r="N8" s="77">
        <f t="shared" si="1"/>
        <v>595.26159921026658</v>
      </c>
      <c r="O8" s="77">
        <f t="shared" si="2"/>
        <v>1426.4122448979592</v>
      </c>
      <c r="P8" s="77">
        <f t="shared" si="3"/>
        <v>617.58021390374324</v>
      </c>
      <c r="Q8" s="77">
        <f t="shared" si="3"/>
        <v>1284.0953101361574</v>
      </c>
      <c r="R8" s="135"/>
      <c r="S8" s="135"/>
      <c r="T8" s="135"/>
    </row>
    <row r="9" spans="1:20" ht="21.75" customHeight="1" x14ac:dyDescent="0.2">
      <c r="A9" s="166" t="s">
        <v>32</v>
      </c>
      <c r="B9" s="100" t="s">
        <v>2</v>
      </c>
      <c r="C9" s="78">
        <v>0.63</v>
      </c>
      <c r="D9" s="78">
        <v>0.88800000000000001</v>
      </c>
      <c r="E9" s="78">
        <v>0.91900000000000004</v>
      </c>
      <c r="F9" s="78">
        <v>0.92100000000000004</v>
      </c>
      <c r="G9" s="78">
        <v>0.92300000000000004</v>
      </c>
      <c r="H9" s="78">
        <v>0.65300000000000002</v>
      </c>
      <c r="I9" s="78">
        <v>0.86799999999999999</v>
      </c>
      <c r="J9" s="78">
        <v>0.90061999999999998</v>
      </c>
      <c r="K9" s="78">
        <v>0.90350100000000011</v>
      </c>
      <c r="L9" s="78">
        <v>0.90546300000000013</v>
      </c>
      <c r="M9" s="76">
        <f t="shared" si="0"/>
        <v>1036.5079365079366</v>
      </c>
      <c r="N9" s="76">
        <f t="shared" si="1"/>
        <v>977.47747747747746</v>
      </c>
      <c r="O9" s="76">
        <f t="shared" si="2"/>
        <v>980</v>
      </c>
      <c r="P9" s="76">
        <f t="shared" si="3"/>
        <v>981.00000000000011</v>
      </c>
      <c r="Q9" s="76">
        <f t="shared" si="3"/>
        <v>981.00000000000011</v>
      </c>
      <c r="R9" s="135"/>
      <c r="S9" s="135"/>
      <c r="T9" s="135"/>
    </row>
    <row r="10" spans="1:20" ht="21.75" customHeight="1" x14ac:dyDescent="0.2">
      <c r="A10" s="165" t="s">
        <v>5</v>
      </c>
      <c r="B10" s="4" t="s">
        <v>2</v>
      </c>
      <c r="C10" s="78">
        <v>0.49199999999999999</v>
      </c>
      <c r="D10" s="78">
        <v>0.97899999999999998</v>
      </c>
      <c r="E10" s="78">
        <v>0.56899999999999995</v>
      </c>
      <c r="F10" s="78">
        <v>0.85599999999999998</v>
      </c>
      <c r="G10" s="78">
        <v>0.84099999999999997</v>
      </c>
      <c r="H10" s="78">
        <v>0.501</v>
      </c>
      <c r="I10" s="78">
        <v>0.99399999999999999</v>
      </c>
      <c r="J10" s="78">
        <v>0.57981099999999997</v>
      </c>
      <c r="K10" s="78">
        <v>0.87312000000000001</v>
      </c>
      <c r="L10" s="78">
        <v>0.85781999999999992</v>
      </c>
      <c r="M10" s="76">
        <f t="shared" si="0"/>
        <v>1018.2926829268292</v>
      </c>
      <c r="N10" s="76">
        <f t="shared" si="1"/>
        <v>1015.3217568947905</v>
      </c>
      <c r="O10" s="76">
        <f t="shared" si="2"/>
        <v>1019.0000000000001</v>
      </c>
      <c r="P10" s="76">
        <f t="shared" si="3"/>
        <v>1020</v>
      </c>
      <c r="Q10" s="76">
        <f t="shared" si="3"/>
        <v>1020</v>
      </c>
      <c r="R10" s="135"/>
      <c r="S10" s="135"/>
      <c r="T10" s="135"/>
    </row>
    <row r="11" spans="1:20" ht="21.75" customHeight="1" x14ac:dyDescent="0.2">
      <c r="A11" s="165" t="s">
        <v>6</v>
      </c>
      <c r="B11" s="4" t="s">
        <v>2</v>
      </c>
      <c r="C11" s="78">
        <v>27.3</v>
      </c>
      <c r="D11" s="78">
        <v>25.2</v>
      </c>
      <c r="E11" s="78">
        <v>20.3</v>
      </c>
      <c r="F11" s="78">
        <v>30.12</v>
      </c>
      <c r="G11" s="78">
        <v>27.44</v>
      </c>
      <c r="H11" s="78">
        <v>33.6</v>
      </c>
      <c r="I11" s="78">
        <v>46.4</v>
      </c>
      <c r="J11" s="78">
        <v>33.393500000000003</v>
      </c>
      <c r="K11" s="78">
        <v>40.300560000000004</v>
      </c>
      <c r="L11" s="78">
        <v>41.818560000000005</v>
      </c>
      <c r="M11" s="76">
        <f t="shared" si="0"/>
        <v>1230.7692307692309</v>
      </c>
      <c r="N11" s="76">
        <f t="shared" si="1"/>
        <v>1841.2698412698412</v>
      </c>
      <c r="O11" s="76">
        <f t="shared" si="2"/>
        <v>1645</v>
      </c>
      <c r="P11" s="76">
        <f t="shared" si="3"/>
        <v>1338</v>
      </c>
      <c r="Q11" s="76">
        <f t="shared" si="3"/>
        <v>1524</v>
      </c>
      <c r="R11" s="135"/>
      <c r="S11" s="135"/>
      <c r="T11" s="135"/>
    </row>
    <row r="12" spans="1:20" ht="21.75" customHeight="1" x14ac:dyDescent="0.2">
      <c r="A12" s="223" t="s">
        <v>7</v>
      </c>
      <c r="B12" s="100" t="s">
        <v>2</v>
      </c>
      <c r="C12" s="78">
        <v>0.36099999999999999</v>
      </c>
      <c r="D12" s="78">
        <v>0.33600000000000002</v>
      </c>
      <c r="E12" s="78">
        <v>0.28000000000000003</v>
      </c>
      <c r="F12" s="78">
        <v>0.21</v>
      </c>
      <c r="G12" s="78">
        <v>2E-3</v>
      </c>
      <c r="H12" s="78">
        <v>0.73699999999999999</v>
      </c>
      <c r="I12" s="78">
        <v>0.85899999999999999</v>
      </c>
      <c r="J12" s="78">
        <v>0.65100000000000013</v>
      </c>
      <c r="K12" s="78">
        <v>0.49769999999999998</v>
      </c>
      <c r="L12" s="78">
        <v>5.5280000000000008E-3</v>
      </c>
      <c r="M12" s="76">
        <f t="shared" si="0"/>
        <v>2041.5512465373959</v>
      </c>
      <c r="N12" s="76">
        <f t="shared" si="1"/>
        <v>2556.5476190476188</v>
      </c>
      <c r="O12" s="76">
        <f t="shared" si="2"/>
        <v>2325</v>
      </c>
      <c r="P12" s="76">
        <f t="shared" si="3"/>
        <v>2370</v>
      </c>
      <c r="Q12" s="76">
        <f t="shared" si="3"/>
        <v>2764.0000000000005</v>
      </c>
      <c r="R12" s="135"/>
      <c r="S12" s="135"/>
      <c r="T12" s="135"/>
    </row>
    <row r="13" spans="1:20" ht="21.75" customHeight="1" x14ac:dyDescent="0.2">
      <c r="A13" s="223"/>
      <c r="B13" s="100" t="s">
        <v>71</v>
      </c>
      <c r="C13" s="78">
        <v>1.5369999999999999</v>
      </c>
      <c r="D13" s="78">
        <v>1.3520000000000001</v>
      </c>
      <c r="E13" s="78">
        <v>1.2569999999999999</v>
      </c>
      <c r="F13" s="78">
        <v>0.214</v>
      </c>
      <c r="G13" s="78">
        <v>0.16800000000000001</v>
      </c>
      <c r="H13" s="78">
        <v>3.298</v>
      </c>
      <c r="I13" s="78">
        <v>3.1120000000000001</v>
      </c>
      <c r="J13" s="78">
        <v>2.8194509999999995</v>
      </c>
      <c r="K13" s="78">
        <v>0.49648000000000003</v>
      </c>
      <c r="L13" s="78">
        <v>0.42</v>
      </c>
      <c r="M13" s="76">
        <f t="shared" si="0"/>
        <v>2145.7384515289527</v>
      </c>
      <c r="N13" s="76">
        <f t="shared" si="1"/>
        <v>2301.7751479289941</v>
      </c>
      <c r="O13" s="76">
        <f t="shared" si="2"/>
        <v>2243</v>
      </c>
      <c r="P13" s="76">
        <f t="shared" si="3"/>
        <v>2320.0000000000005</v>
      </c>
      <c r="Q13" s="76">
        <f t="shared" si="3"/>
        <v>2499.9999999999995</v>
      </c>
      <c r="R13" s="135"/>
      <c r="S13" s="135"/>
      <c r="T13" s="135"/>
    </row>
    <row r="14" spans="1:20" ht="21.75" customHeight="1" x14ac:dyDescent="0.2">
      <c r="A14" s="223"/>
      <c r="B14" s="100" t="s">
        <v>72</v>
      </c>
      <c r="C14" s="78">
        <f t="shared" ref="C14:I14" si="5">C13+C12</f>
        <v>1.8979999999999999</v>
      </c>
      <c r="D14" s="78">
        <f t="shared" si="5"/>
        <v>1.6880000000000002</v>
      </c>
      <c r="E14" s="78">
        <f>E12+E13</f>
        <v>1.5369999999999999</v>
      </c>
      <c r="F14" s="78">
        <v>0.42399999999999999</v>
      </c>
      <c r="G14" s="78">
        <v>0.17</v>
      </c>
      <c r="H14" s="78">
        <f t="shared" si="5"/>
        <v>4.0350000000000001</v>
      </c>
      <c r="I14" s="78">
        <f t="shared" si="5"/>
        <v>3.9710000000000001</v>
      </c>
      <c r="J14" s="78">
        <f>J12+J13</f>
        <v>3.4704509999999997</v>
      </c>
      <c r="K14" s="78">
        <v>0.99418000000000006</v>
      </c>
      <c r="L14" s="78">
        <v>0.42552799999999996</v>
      </c>
      <c r="M14" s="76">
        <f t="shared" si="0"/>
        <v>2125.9220231822974</v>
      </c>
      <c r="N14" s="76">
        <f t="shared" si="1"/>
        <v>2352.4881516587675</v>
      </c>
      <c r="O14" s="76">
        <f t="shared" si="2"/>
        <v>2257.9381912817175</v>
      </c>
      <c r="P14" s="76">
        <f t="shared" si="3"/>
        <v>2344.7641509433965</v>
      </c>
      <c r="Q14" s="76">
        <f t="shared" si="3"/>
        <v>2503.1058823529406</v>
      </c>
      <c r="R14" s="135"/>
      <c r="S14" s="135"/>
      <c r="T14" s="135"/>
    </row>
    <row r="15" spans="1:20" ht="21.75" customHeight="1" x14ac:dyDescent="0.2">
      <c r="A15" s="219" t="s">
        <v>8</v>
      </c>
      <c r="B15" s="4" t="s">
        <v>2</v>
      </c>
      <c r="C15" s="78">
        <v>1356</v>
      </c>
      <c r="D15" s="78">
        <v>1696</v>
      </c>
      <c r="E15" s="78">
        <v>1627</v>
      </c>
      <c r="F15" s="78">
        <v>1566.37</v>
      </c>
      <c r="G15" s="78">
        <v>1629.28</v>
      </c>
      <c r="H15" s="78">
        <v>2243.0952000000002</v>
      </c>
      <c r="I15" s="78">
        <v>3044.32</v>
      </c>
      <c r="J15" s="78">
        <v>3841.3470000000002</v>
      </c>
      <c r="K15" s="78">
        <v>2142.7941599999995</v>
      </c>
      <c r="L15" s="78">
        <v>4503.3299200000001</v>
      </c>
      <c r="M15" s="76">
        <f t="shared" si="0"/>
        <v>1654.2</v>
      </c>
      <c r="N15" s="76">
        <f t="shared" si="1"/>
        <v>1795.0000000000002</v>
      </c>
      <c r="O15" s="76">
        <f t="shared" si="2"/>
        <v>2361</v>
      </c>
      <c r="P15" s="76">
        <f t="shared" si="3"/>
        <v>1367.9999999999998</v>
      </c>
      <c r="Q15" s="76">
        <f t="shared" si="3"/>
        <v>2764.0000000000005</v>
      </c>
      <c r="R15" s="135"/>
      <c r="S15" s="135"/>
      <c r="T15" s="135"/>
    </row>
    <row r="16" spans="1:20" ht="21.75" customHeight="1" x14ac:dyDescent="0.2">
      <c r="A16" s="219"/>
      <c r="B16" s="4" t="s">
        <v>71</v>
      </c>
      <c r="C16" s="78">
        <v>58</v>
      </c>
      <c r="D16" s="78">
        <v>63</v>
      </c>
      <c r="E16" s="78">
        <v>52</v>
      </c>
      <c r="F16" s="78">
        <v>27.84</v>
      </c>
      <c r="G16" s="78">
        <v>59.42</v>
      </c>
      <c r="H16" s="78">
        <v>96</v>
      </c>
      <c r="I16" s="78">
        <v>113</v>
      </c>
      <c r="J16" s="78">
        <v>95.784000000000006</v>
      </c>
      <c r="K16" s="78">
        <v>60.023040000000002</v>
      </c>
      <c r="L16" s="78">
        <v>142.19206</v>
      </c>
      <c r="M16" s="76">
        <f t="shared" si="0"/>
        <v>1655.1724137931035</v>
      </c>
      <c r="N16" s="76">
        <f t="shared" si="1"/>
        <v>1793.6507936507937</v>
      </c>
      <c r="O16" s="76">
        <f t="shared" si="2"/>
        <v>1842</v>
      </c>
      <c r="P16" s="76">
        <f t="shared" si="3"/>
        <v>2156</v>
      </c>
      <c r="Q16" s="76">
        <f t="shared" si="3"/>
        <v>2393</v>
      </c>
      <c r="R16" s="135"/>
      <c r="S16" s="135"/>
      <c r="T16" s="135"/>
    </row>
    <row r="17" spans="1:20" ht="21.75" customHeight="1" x14ac:dyDescent="0.2">
      <c r="A17" s="219"/>
      <c r="B17" s="4" t="s">
        <v>72</v>
      </c>
      <c r="C17" s="81">
        <f t="shared" ref="C17:I17" si="6">C16+C15</f>
        <v>1414</v>
      </c>
      <c r="D17" s="81">
        <f t="shared" si="6"/>
        <v>1759</v>
      </c>
      <c r="E17" s="80">
        <f>E15+E16</f>
        <v>1679</v>
      </c>
      <c r="F17" s="80">
        <v>1594.2099999999998</v>
      </c>
      <c r="G17" s="80">
        <v>1688.7</v>
      </c>
      <c r="H17" s="81">
        <f t="shared" si="6"/>
        <v>2339.0952000000002</v>
      </c>
      <c r="I17" s="81">
        <f t="shared" si="6"/>
        <v>3157.32</v>
      </c>
      <c r="J17" s="80">
        <f>J15+J16</f>
        <v>3937.1310000000003</v>
      </c>
      <c r="K17" s="80">
        <v>2202.8171999999995</v>
      </c>
      <c r="L17" s="80">
        <v>4645.5219800000004</v>
      </c>
      <c r="M17" s="77">
        <f t="shared" si="0"/>
        <v>1654.2398868458276</v>
      </c>
      <c r="N17" s="77">
        <f t="shared" si="1"/>
        <v>1794.9516770892553</v>
      </c>
      <c r="O17" s="77">
        <f t="shared" si="2"/>
        <v>2344.9261465157838</v>
      </c>
      <c r="P17" s="77">
        <f t="shared" si="3"/>
        <v>1381.7609976101014</v>
      </c>
      <c r="Q17" s="77">
        <f t="shared" si="3"/>
        <v>2750.9456860306746</v>
      </c>
      <c r="R17" s="135"/>
      <c r="S17" s="135"/>
      <c r="T17" s="135"/>
    </row>
    <row r="18" spans="1:20" ht="21.75" customHeight="1" x14ac:dyDescent="0.2">
      <c r="A18" s="165" t="s">
        <v>9</v>
      </c>
      <c r="B18" s="4" t="s">
        <v>2</v>
      </c>
      <c r="C18" s="78">
        <v>4.5999999999999996</v>
      </c>
      <c r="D18" s="78">
        <v>4.8</v>
      </c>
      <c r="E18" s="78">
        <v>3</v>
      </c>
      <c r="F18" s="78">
        <v>3.7</v>
      </c>
      <c r="G18" s="78">
        <v>2.8</v>
      </c>
      <c r="H18" s="78">
        <v>4.5999999999999996</v>
      </c>
      <c r="I18" s="78">
        <v>4.8</v>
      </c>
      <c r="J18" s="78">
        <v>3.6059999999999999</v>
      </c>
      <c r="K18" s="78">
        <v>3.33</v>
      </c>
      <c r="L18" s="78">
        <v>3.3627999999999996</v>
      </c>
      <c r="M18" s="76">
        <f t="shared" si="0"/>
        <v>1000</v>
      </c>
      <c r="N18" s="76">
        <f t="shared" si="1"/>
        <v>1000</v>
      </c>
      <c r="O18" s="76">
        <f t="shared" si="2"/>
        <v>1202</v>
      </c>
      <c r="P18" s="76">
        <f t="shared" si="3"/>
        <v>900</v>
      </c>
      <c r="Q18" s="76">
        <f t="shared" si="3"/>
        <v>1200.9999999999998</v>
      </c>
      <c r="R18" s="135"/>
      <c r="S18" s="135"/>
      <c r="T18" s="135"/>
    </row>
    <row r="19" spans="1:20" ht="21.75" customHeight="1" x14ac:dyDescent="0.2">
      <c r="A19" s="165" t="s">
        <v>10</v>
      </c>
      <c r="B19" s="4" t="s">
        <v>2</v>
      </c>
      <c r="C19" s="78">
        <v>0</v>
      </c>
      <c r="D19" s="78">
        <v>0.05</v>
      </c>
      <c r="E19" s="78">
        <v>3.5999999999999997E-2</v>
      </c>
      <c r="F19" s="78">
        <v>4.2000000000000003E-2</v>
      </c>
      <c r="G19" s="78">
        <v>4.3999999999999997E-2</v>
      </c>
      <c r="H19" s="78">
        <v>3.3000000000000002E-2</v>
      </c>
      <c r="I19" s="78">
        <v>5.0999999999999997E-2</v>
      </c>
      <c r="J19" s="78">
        <v>3.6999999999999998E-2</v>
      </c>
      <c r="K19" s="78">
        <v>4.3260000000000007E-2</v>
      </c>
      <c r="L19" s="78">
        <v>5.1040000000000002E-2</v>
      </c>
      <c r="M19" s="76" t="e">
        <f t="shared" si="0"/>
        <v>#DIV/0!</v>
      </c>
      <c r="N19" s="76">
        <f t="shared" si="1"/>
        <v>1019.9999999999998</v>
      </c>
      <c r="O19" s="76">
        <f t="shared" si="2"/>
        <v>1027.7777777777778</v>
      </c>
      <c r="P19" s="76">
        <f t="shared" si="3"/>
        <v>1030</v>
      </c>
      <c r="Q19" s="76">
        <f t="shared" si="3"/>
        <v>1160.0000000000002</v>
      </c>
      <c r="R19" s="135"/>
      <c r="S19" s="135"/>
      <c r="T19" s="135"/>
    </row>
    <row r="20" spans="1:20" ht="21.75" customHeight="1" x14ac:dyDescent="0.2">
      <c r="A20" s="165" t="s">
        <v>41</v>
      </c>
      <c r="B20" s="4" t="s">
        <v>2</v>
      </c>
      <c r="C20" s="78">
        <v>0</v>
      </c>
      <c r="D20" s="78">
        <v>0</v>
      </c>
      <c r="E20" s="78">
        <v>0</v>
      </c>
      <c r="F20" s="78"/>
      <c r="G20" s="78">
        <v>0</v>
      </c>
      <c r="H20" s="78">
        <v>0</v>
      </c>
      <c r="I20" s="78">
        <v>0.09</v>
      </c>
      <c r="J20" s="78">
        <v>0</v>
      </c>
      <c r="K20" s="78">
        <v>0</v>
      </c>
      <c r="L20" s="78">
        <v>0</v>
      </c>
      <c r="M20" s="76" t="e">
        <f t="shared" si="0"/>
        <v>#DIV/0!</v>
      </c>
      <c r="N20" s="76" t="e">
        <f t="shared" si="1"/>
        <v>#DIV/0!</v>
      </c>
      <c r="O20" s="76" t="e">
        <f t="shared" si="2"/>
        <v>#DIV/0!</v>
      </c>
      <c r="P20" s="76" t="e">
        <f t="shared" si="3"/>
        <v>#DIV/0!</v>
      </c>
      <c r="Q20" s="76" t="e">
        <f t="shared" si="3"/>
        <v>#DIV/0!</v>
      </c>
      <c r="R20" s="135"/>
      <c r="S20" s="135"/>
      <c r="T20" s="135"/>
    </row>
    <row r="21" spans="1:20" ht="21.75" customHeight="1" x14ac:dyDescent="0.2">
      <c r="A21" s="165" t="s">
        <v>50</v>
      </c>
      <c r="B21" s="4" t="s">
        <v>2</v>
      </c>
      <c r="C21" s="78">
        <v>25.047999999999998</v>
      </c>
      <c r="D21" s="78">
        <v>27.071000000000002</v>
      </c>
      <c r="E21" s="78">
        <v>32.273000000000003</v>
      </c>
      <c r="F21" s="78">
        <v>30.071999999999999</v>
      </c>
      <c r="G21" s="78">
        <v>26.088000000000001</v>
      </c>
      <c r="H21" s="78">
        <v>20.797999999999998</v>
      </c>
      <c r="I21" s="78">
        <v>28.393999999999998</v>
      </c>
      <c r="J21" s="78">
        <v>35.855303000000006</v>
      </c>
      <c r="K21" s="78">
        <v>31.034303999999999</v>
      </c>
      <c r="L21" s="78">
        <v>28.775064</v>
      </c>
      <c r="M21" s="76">
        <f t="shared" si="0"/>
        <v>830.32577451293514</v>
      </c>
      <c r="N21" s="76">
        <f t="shared" si="1"/>
        <v>1048.871486092128</v>
      </c>
      <c r="O21" s="76">
        <f t="shared" si="2"/>
        <v>1111</v>
      </c>
      <c r="P21" s="76">
        <f t="shared" si="3"/>
        <v>1032</v>
      </c>
      <c r="Q21" s="76">
        <f t="shared" si="3"/>
        <v>1103</v>
      </c>
      <c r="R21" s="135"/>
      <c r="S21" s="135"/>
      <c r="T21" s="135"/>
    </row>
    <row r="22" spans="1:20" ht="21.75" customHeight="1" x14ac:dyDescent="0.2">
      <c r="A22" s="219" t="s">
        <v>11</v>
      </c>
      <c r="B22" s="4" t="s">
        <v>2</v>
      </c>
      <c r="C22" s="78">
        <v>406</v>
      </c>
      <c r="D22" s="78">
        <v>497</v>
      </c>
      <c r="E22" s="78">
        <v>390</v>
      </c>
      <c r="F22" s="78">
        <v>378.09999999999997</v>
      </c>
      <c r="G22" s="78">
        <v>393</v>
      </c>
      <c r="H22" s="78">
        <v>274</v>
      </c>
      <c r="I22" s="78">
        <v>248</v>
      </c>
      <c r="J22" s="78">
        <v>345.61799999999999</v>
      </c>
      <c r="K22" s="78">
        <v>272.23200000000003</v>
      </c>
      <c r="L22" s="78">
        <v>369.81299999999999</v>
      </c>
      <c r="M22" s="76">
        <f t="shared" si="0"/>
        <v>674.8768472906404</v>
      </c>
      <c r="N22" s="76">
        <f t="shared" si="1"/>
        <v>498.9939637826962</v>
      </c>
      <c r="O22" s="76">
        <f t="shared" si="2"/>
        <v>886.19999999999993</v>
      </c>
      <c r="P22" s="76">
        <f t="shared" si="3"/>
        <v>720.00000000000011</v>
      </c>
      <c r="Q22" s="76">
        <f t="shared" si="3"/>
        <v>941</v>
      </c>
      <c r="R22" s="135"/>
      <c r="S22" s="135"/>
      <c r="T22" s="135"/>
    </row>
    <row r="23" spans="1:20" ht="21.75" customHeight="1" x14ac:dyDescent="0.2">
      <c r="A23" s="219"/>
      <c r="B23" s="4" t="s">
        <v>71</v>
      </c>
      <c r="C23" s="78">
        <f>4+160</f>
        <v>164</v>
      </c>
      <c r="D23" s="78">
        <f>3+166</f>
        <v>169</v>
      </c>
      <c r="E23" s="78">
        <v>174</v>
      </c>
      <c r="F23" s="78">
        <v>136.79999999999998</v>
      </c>
      <c r="G23" s="78">
        <v>111</v>
      </c>
      <c r="H23" s="78">
        <f>7+114</f>
        <v>121</v>
      </c>
      <c r="I23" s="78">
        <f>7+164</f>
        <v>171</v>
      </c>
      <c r="J23" s="78">
        <v>207.00000000000003</v>
      </c>
      <c r="K23" s="78">
        <v>118.74999999999999</v>
      </c>
      <c r="L23" s="78">
        <v>133</v>
      </c>
      <c r="M23" s="76">
        <f t="shared" si="0"/>
        <v>737.80487804878044</v>
      </c>
      <c r="N23" s="76">
        <f t="shared" si="1"/>
        <v>1011.8343195266273</v>
      </c>
      <c r="O23" s="76">
        <f t="shared" si="2"/>
        <v>1189.6551724137935</v>
      </c>
      <c r="P23" s="76">
        <f t="shared" si="3"/>
        <v>868.05555555555554</v>
      </c>
      <c r="Q23" s="76">
        <f t="shared" si="3"/>
        <v>1198.1981981981983</v>
      </c>
      <c r="R23" s="135"/>
      <c r="S23" s="135"/>
      <c r="T23" s="135"/>
    </row>
    <row r="24" spans="1:20" ht="21.75" customHeight="1" x14ac:dyDescent="0.2">
      <c r="A24" s="219"/>
      <c r="B24" s="4" t="s">
        <v>72</v>
      </c>
      <c r="C24" s="81">
        <f t="shared" ref="C24:I24" si="7">C23+C22</f>
        <v>570</v>
      </c>
      <c r="D24" s="81">
        <f t="shared" si="7"/>
        <v>666</v>
      </c>
      <c r="E24" s="80">
        <f>E22+E23</f>
        <v>564</v>
      </c>
      <c r="F24" s="80">
        <v>514.9</v>
      </c>
      <c r="G24" s="80">
        <v>504</v>
      </c>
      <c r="H24" s="81">
        <f t="shared" si="7"/>
        <v>395</v>
      </c>
      <c r="I24" s="81">
        <f t="shared" si="7"/>
        <v>419</v>
      </c>
      <c r="J24" s="80">
        <f>J22+J23</f>
        <v>552.61800000000005</v>
      </c>
      <c r="K24" s="80">
        <v>390.98200000000003</v>
      </c>
      <c r="L24" s="80">
        <v>502.81299999999999</v>
      </c>
      <c r="M24" s="77">
        <f t="shared" si="0"/>
        <v>692.98245614035091</v>
      </c>
      <c r="N24" s="77">
        <f t="shared" si="1"/>
        <v>629.12912912912907</v>
      </c>
      <c r="O24" s="77">
        <f t="shared" si="2"/>
        <v>979.81914893617034</v>
      </c>
      <c r="P24" s="77">
        <f t="shared" si="3"/>
        <v>759.33579335793365</v>
      </c>
      <c r="Q24" s="77">
        <f t="shared" si="3"/>
        <v>997.64484126984121</v>
      </c>
      <c r="R24" s="135"/>
      <c r="S24" s="135"/>
      <c r="T24" s="135"/>
    </row>
    <row r="25" spans="1:20" ht="21.75" customHeight="1" x14ac:dyDescent="0.2">
      <c r="A25" s="223" t="s">
        <v>12</v>
      </c>
      <c r="B25" s="4" t="s">
        <v>2</v>
      </c>
      <c r="C25" s="78">
        <v>0.44900000000000001</v>
      </c>
      <c r="D25" s="78">
        <v>0.35799999999999998</v>
      </c>
      <c r="E25" s="78">
        <v>0.27400000000000002</v>
      </c>
      <c r="F25" s="78">
        <v>0.11360000000000001</v>
      </c>
      <c r="G25" s="78">
        <v>6.2E-2</v>
      </c>
      <c r="H25" s="78">
        <v>0.61899999999999999</v>
      </c>
      <c r="I25" s="78">
        <v>0.505</v>
      </c>
      <c r="J25" s="78">
        <v>0.38195600000000002</v>
      </c>
      <c r="K25" s="78">
        <v>0.1432496</v>
      </c>
      <c r="L25" s="78">
        <v>7.7995999999999996E-2</v>
      </c>
      <c r="M25" s="76">
        <f t="shared" si="0"/>
        <v>1378.6191536748329</v>
      </c>
      <c r="N25" s="76">
        <f t="shared" si="1"/>
        <v>1410.6145251396649</v>
      </c>
      <c r="O25" s="76">
        <f t="shared" si="2"/>
        <v>1394</v>
      </c>
      <c r="P25" s="76">
        <f t="shared" si="3"/>
        <v>1261</v>
      </c>
      <c r="Q25" s="76">
        <f t="shared" si="3"/>
        <v>1258</v>
      </c>
      <c r="R25" s="135"/>
      <c r="S25" s="135"/>
      <c r="T25" s="135"/>
    </row>
    <row r="26" spans="1:20" ht="21.75" customHeight="1" x14ac:dyDescent="0.2">
      <c r="A26" s="223"/>
      <c r="B26" s="4" t="s">
        <v>71</v>
      </c>
      <c r="C26" s="78">
        <v>0</v>
      </c>
      <c r="D26" s="78">
        <v>0</v>
      </c>
      <c r="E26" s="78">
        <v>0</v>
      </c>
      <c r="F26" s="78">
        <v>7.8399999999999997E-2</v>
      </c>
      <c r="G26" s="78">
        <v>5.5E-2</v>
      </c>
      <c r="H26" s="78">
        <v>0</v>
      </c>
      <c r="I26" s="78">
        <v>0</v>
      </c>
      <c r="J26" s="78">
        <v>0</v>
      </c>
      <c r="K26" s="78">
        <v>9.6200000000000008E-2</v>
      </c>
      <c r="L26" s="78">
        <v>6.900000000000002E-2</v>
      </c>
      <c r="M26" s="76" t="e">
        <f t="shared" si="0"/>
        <v>#DIV/0!</v>
      </c>
      <c r="N26" s="76" t="e">
        <f t="shared" si="1"/>
        <v>#DIV/0!</v>
      </c>
      <c r="O26" s="76" t="e">
        <f t="shared" si="2"/>
        <v>#DIV/0!</v>
      </c>
      <c r="P26" s="76">
        <f t="shared" si="3"/>
        <v>1227.0408163265308</v>
      </c>
      <c r="Q26" s="76">
        <f t="shared" si="3"/>
        <v>1254.545454545455</v>
      </c>
      <c r="R26" s="135"/>
      <c r="S26" s="135"/>
      <c r="T26" s="135"/>
    </row>
    <row r="27" spans="1:20" ht="21.75" customHeight="1" x14ac:dyDescent="0.2">
      <c r="A27" s="223"/>
      <c r="B27" s="4" t="s">
        <v>72</v>
      </c>
      <c r="C27" s="79">
        <f t="shared" ref="C27:I27" si="8">C26+C25</f>
        <v>0.44900000000000001</v>
      </c>
      <c r="D27" s="79">
        <f t="shared" si="8"/>
        <v>0.35799999999999998</v>
      </c>
      <c r="E27" s="79">
        <f t="shared" si="8"/>
        <v>0.27400000000000002</v>
      </c>
      <c r="F27" s="79">
        <v>0.192</v>
      </c>
      <c r="G27" s="79">
        <v>0.11699999999999999</v>
      </c>
      <c r="H27" s="79">
        <f t="shared" si="8"/>
        <v>0.61899999999999999</v>
      </c>
      <c r="I27" s="79">
        <f t="shared" si="8"/>
        <v>0.505</v>
      </c>
      <c r="J27" s="78">
        <f>J25+J26</f>
        <v>0.38195600000000002</v>
      </c>
      <c r="K27" s="78">
        <v>0.23944960000000001</v>
      </c>
      <c r="L27" s="78">
        <v>0.14699600000000002</v>
      </c>
      <c r="M27" s="76">
        <f t="shared" si="0"/>
        <v>1378.6191536748329</v>
      </c>
      <c r="N27" s="76">
        <f t="shared" si="1"/>
        <v>1410.6145251396649</v>
      </c>
      <c r="O27" s="76">
        <f t="shared" si="2"/>
        <v>1394</v>
      </c>
      <c r="P27" s="76">
        <f t="shared" si="3"/>
        <v>1247.1333333333334</v>
      </c>
      <c r="Q27" s="76">
        <f t="shared" si="3"/>
        <v>1256.3760683760686</v>
      </c>
      <c r="R27" s="135"/>
      <c r="S27" s="135"/>
      <c r="T27" s="135"/>
    </row>
    <row r="28" spans="1:20" ht="21.75" customHeight="1" x14ac:dyDescent="0.2">
      <c r="A28" s="223" t="s">
        <v>13</v>
      </c>
      <c r="B28" s="4" t="s">
        <v>2</v>
      </c>
      <c r="C28" s="78">
        <v>236</v>
      </c>
      <c r="D28" s="78">
        <v>255</v>
      </c>
      <c r="E28" s="78">
        <v>218</v>
      </c>
      <c r="F28" s="78">
        <v>216</v>
      </c>
      <c r="G28" s="78">
        <v>217</v>
      </c>
      <c r="H28" s="78">
        <v>331.5564</v>
      </c>
      <c r="I28" s="78">
        <v>378</v>
      </c>
      <c r="J28" s="78">
        <v>338</v>
      </c>
      <c r="K28" s="78">
        <v>399.38400000000001</v>
      </c>
      <c r="L28" s="78">
        <v>344.37900000000002</v>
      </c>
      <c r="M28" s="76">
        <f t="shared" si="0"/>
        <v>1404.9</v>
      </c>
      <c r="N28" s="76">
        <f t="shared" si="1"/>
        <v>1482.3529411764707</v>
      </c>
      <c r="O28" s="76">
        <f t="shared" si="2"/>
        <v>1550.4587155963302</v>
      </c>
      <c r="P28" s="76">
        <f t="shared" si="3"/>
        <v>1849</v>
      </c>
      <c r="Q28" s="76">
        <f t="shared" si="3"/>
        <v>1587.0000000000002</v>
      </c>
      <c r="R28" s="135"/>
      <c r="S28" s="135"/>
      <c r="T28" s="135"/>
    </row>
    <row r="29" spans="1:20" ht="21.75" customHeight="1" x14ac:dyDescent="0.2">
      <c r="A29" s="223"/>
      <c r="B29" s="4" t="s">
        <v>71</v>
      </c>
      <c r="C29" s="78"/>
      <c r="D29" s="78"/>
      <c r="E29" s="78">
        <v>6</v>
      </c>
      <c r="F29" s="78">
        <v>7</v>
      </c>
      <c r="G29" s="78">
        <v>4</v>
      </c>
      <c r="H29" s="78"/>
      <c r="I29" s="78"/>
      <c r="J29" s="78">
        <v>11</v>
      </c>
      <c r="K29" s="78">
        <v>12.663</v>
      </c>
      <c r="L29" s="78">
        <v>6.28</v>
      </c>
      <c r="M29" s="76"/>
      <c r="N29" s="76"/>
      <c r="O29" s="76">
        <f t="shared" ref="O29:Q30" si="9">J29/E29*1000</f>
        <v>1833.3333333333333</v>
      </c>
      <c r="P29" s="76">
        <f t="shared" si="9"/>
        <v>1809</v>
      </c>
      <c r="Q29" s="76">
        <f t="shared" si="9"/>
        <v>1570</v>
      </c>
      <c r="R29" s="135"/>
      <c r="S29" s="135"/>
      <c r="T29" s="135"/>
    </row>
    <row r="30" spans="1:20" ht="21.75" customHeight="1" x14ac:dyDescent="0.2">
      <c r="A30" s="223"/>
      <c r="B30" s="4" t="s">
        <v>72</v>
      </c>
      <c r="C30" s="80">
        <f t="shared" ref="C30:J30" si="10">C28+C29</f>
        <v>236</v>
      </c>
      <c r="D30" s="80">
        <f t="shared" si="10"/>
        <v>255</v>
      </c>
      <c r="E30" s="80">
        <f t="shared" si="10"/>
        <v>224</v>
      </c>
      <c r="F30" s="80">
        <v>223</v>
      </c>
      <c r="G30" s="80">
        <v>221</v>
      </c>
      <c r="H30" s="80">
        <f t="shared" si="10"/>
        <v>331.5564</v>
      </c>
      <c r="I30" s="80">
        <f t="shared" si="10"/>
        <v>378</v>
      </c>
      <c r="J30" s="80">
        <f t="shared" si="10"/>
        <v>349</v>
      </c>
      <c r="K30" s="80">
        <v>412.04700000000003</v>
      </c>
      <c r="L30" s="80">
        <v>350.65899999999999</v>
      </c>
      <c r="M30" s="77">
        <f>H30/C30*1000</f>
        <v>1404.9</v>
      </c>
      <c r="N30" s="77">
        <f>I30/D30*1000</f>
        <v>1482.3529411764707</v>
      </c>
      <c r="O30" s="77">
        <f t="shared" si="9"/>
        <v>1558.0357142857142</v>
      </c>
      <c r="P30" s="77">
        <f t="shared" si="9"/>
        <v>1847.7443946188341</v>
      </c>
      <c r="Q30" s="77">
        <f t="shared" si="9"/>
        <v>1586.6923076923076</v>
      </c>
      <c r="R30" s="135"/>
      <c r="S30" s="135"/>
      <c r="T30" s="135"/>
    </row>
    <row r="31" spans="1:20" ht="21.75" customHeight="1" x14ac:dyDescent="0.2">
      <c r="A31" s="226" t="s">
        <v>14</v>
      </c>
      <c r="B31" s="101" t="s">
        <v>2</v>
      </c>
      <c r="C31" s="78">
        <v>224</v>
      </c>
      <c r="D31" s="78">
        <v>235</v>
      </c>
      <c r="E31" s="78">
        <v>240</v>
      </c>
      <c r="F31" s="78">
        <v>217.3</v>
      </c>
      <c r="G31" s="78">
        <v>221.1</v>
      </c>
      <c r="H31" s="78">
        <v>217</v>
      </c>
      <c r="I31" s="78">
        <v>286.89999999999998</v>
      </c>
      <c r="J31" s="78">
        <v>275.52</v>
      </c>
      <c r="K31" s="78">
        <v>203.47972000000001</v>
      </c>
      <c r="L31" s="78">
        <v>191.4726</v>
      </c>
      <c r="M31" s="76">
        <f>H31/C31*180</f>
        <v>174.375</v>
      </c>
      <c r="N31" s="76">
        <f>I31/D31*180</f>
        <v>219.75319148936168</v>
      </c>
      <c r="O31" s="76">
        <f>J31/E31*180</f>
        <v>206.64</v>
      </c>
      <c r="P31" s="76">
        <f>K31/F31*180</f>
        <v>168.55199999999999</v>
      </c>
      <c r="Q31" s="76">
        <f>L31/G31*180</f>
        <v>155.88</v>
      </c>
      <c r="R31" s="135"/>
      <c r="S31" s="135"/>
      <c r="T31" s="135"/>
    </row>
    <row r="32" spans="1:20" ht="21.75" customHeight="1" x14ac:dyDescent="0.2">
      <c r="A32" s="226"/>
      <c r="B32" s="101" t="s">
        <v>71</v>
      </c>
      <c r="C32" s="78">
        <v>85</v>
      </c>
      <c r="D32" s="78">
        <v>119.9</v>
      </c>
      <c r="E32" s="78">
        <v>51</v>
      </c>
      <c r="F32" s="78">
        <v>26.82</v>
      </c>
      <c r="G32" s="78">
        <v>69.66</v>
      </c>
      <c r="H32" s="78">
        <v>117</v>
      </c>
      <c r="I32" s="78">
        <v>133.4</v>
      </c>
      <c r="J32" s="78">
        <v>68.799000000000007</v>
      </c>
      <c r="K32" s="78">
        <v>35.071173000000002</v>
      </c>
      <c r="L32" s="78">
        <v>117.51642</v>
      </c>
      <c r="M32" s="76">
        <f t="shared" ref="M32:Q37" si="11">H32/C32*1000</f>
        <v>1376.4705882352941</v>
      </c>
      <c r="N32" s="76">
        <f t="shared" si="11"/>
        <v>1112.5938281901583</v>
      </c>
      <c r="O32" s="76">
        <f t="shared" si="11"/>
        <v>1349.0000000000002</v>
      </c>
      <c r="P32" s="76">
        <f t="shared" si="11"/>
        <v>1307.6500000000001</v>
      </c>
      <c r="Q32" s="76">
        <f t="shared" si="11"/>
        <v>1687</v>
      </c>
      <c r="R32" s="135"/>
      <c r="S32" s="135"/>
      <c r="T32" s="135"/>
    </row>
    <row r="33" spans="1:20" ht="21.75" customHeight="1" x14ac:dyDescent="0.2">
      <c r="A33" s="226"/>
      <c r="B33" s="101" t="s">
        <v>72</v>
      </c>
      <c r="C33" s="82">
        <f t="shared" ref="C33:I33" si="12">C32+C31</f>
        <v>309</v>
      </c>
      <c r="D33" s="82">
        <f t="shared" si="12"/>
        <v>354.9</v>
      </c>
      <c r="E33" s="102">
        <f>E32+E31</f>
        <v>291</v>
      </c>
      <c r="F33" s="102">
        <v>244.12</v>
      </c>
      <c r="G33" s="102">
        <v>290.76</v>
      </c>
      <c r="H33" s="82">
        <f t="shared" si="12"/>
        <v>334</v>
      </c>
      <c r="I33" s="82">
        <f t="shared" si="12"/>
        <v>420.29999999999995</v>
      </c>
      <c r="J33" s="80">
        <f>J31+J32</f>
        <v>344.31899999999996</v>
      </c>
      <c r="K33" s="80">
        <v>238.55089300000003</v>
      </c>
      <c r="L33" s="80">
        <v>308.98901999999998</v>
      </c>
      <c r="M33" s="77">
        <f t="shared" si="11"/>
        <v>1080.906148867314</v>
      </c>
      <c r="N33" s="77">
        <f t="shared" si="11"/>
        <v>1184.277261200338</v>
      </c>
      <c r="O33" s="77">
        <f t="shared" si="11"/>
        <v>1183.2268041237112</v>
      </c>
      <c r="P33" s="77">
        <f t="shared" si="11"/>
        <v>977.18701048664605</v>
      </c>
      <c r="Q33" s="77">
        <f t="shared" si="11"/>
        <v>1062.6943871234007</v>
      </c>
      <c r="R33" s="135"/>
      <c r="S33" s="135"/>
      <c r="T33" s="135"/>
    </row>
    <row r="34" spans="1:20" ht="21.75" customHeight="1" x14ac:dyDescent="0.2">
      <c r="A34" s="228" t="s">
        <v>36</v>
      </c>
      <c r="B34" s="101" t="s">
        <v>2</v>
      </c>
      <c r="C34" s="78">
        <v>0</v>
      </c>
      <c r="D34" s="78">
        <v>0</v>
      </c>
      <c r="E34" s="78"/>
      <c r="F34" s="78"/>
      <c r="G34" s="78">
        <v>2.71</v>
      </c>
      <c r="H34" s="78">
        <v>0</v>
      </c>
      <c r="I34" s="78">
        <v>0</v>
      </c>
      <c r="J34" s="78">
        <v>0</v>
      </c>
      <c r="K34" s="78">
        <v>0</v>
      </c>
      <c r="L34" s="78">
        <v>2.3522799999999999</v>
      </c>
      <c r="M34" s="76" t="e">
        <f t="shared" si="11"/>
        <v>#DIV/0!</v>
      </c>
      <c r="N34" s="76" t="e">
        <f t="shared" si="11"/>
        <v>#DIV/0!</v>
      </c>
      <c r="O34" s="76" t="e">
        <f t="shared" si="11"/>
        <v>#DIV/0!</v>
      </c>
      <c r="P34" s="76" t="e">
        <f t="shared" si="11"/>
        <v>#DIV/0!</v>
      </c>
      <c r="Q34" s="76">
        <f t="shared" si="11"/>
        <v>868</v>
      </c>
      <c r="R34" s="135"/>
      <c r="S34" s="135"/>
      <c r="T34" s="135"/>
    </row>
    <row r="35" spans="1:20" ht="21.75" customHeight="1" x14ac:dyDescent="0.2">
      <c r="A35" s="228"/>
      <c r="B35" s="101" t="s">
        <v>71</v>
      </c>
      <c r="C35" s="78">
        <v>3.38</v>
      </c>
      <c r="D35" s="78">
        <v>3.38</v>
      </c>
      <c r="E35" s="78">
        <v>3.34</v>
      </c>
      <c r="F35" s="78">
        <v>3.22</v>
      </c>
      <c r="G35" s="78"/>
      <c r="H35" s="78">
        <v>2.97</v>
      </c>
      <c r="I35" s="78">
        <v>3</v>
      </c>
      <c r="J35" s="78">
        <v>3.1429399999999998</v>
      </c>
      <c r="K35" s="78">
        <v>2.9978200000000004</v>
      </c>
      <c r="L35" s="78">
        <v>0</v>
      </c>
      <c r="M35" s="76">
        <f t="shared" si="11"/>
        <v>878.69822485207101</v>
      </c>
      <c r="N35" s="76">
        <f t="shared" si="11"/>
        <v>887.5739644970414</v>
      </c>
      <c r="O35" s="76">
        <f t="shared" si="11"/>
        <v>941</v>
      </c>
      <c r="P35" s="76">
        <f t="shared" si="11"/>
        <v>931</v>
      </c>
      <c r="Q35" s="76" t="e">
        <f t="shared" si="11"/>
        <v>#DIV/0!</v>
      </c>
      <c r="R35" s="135"/>
      <c r="S35" s="135"/>
      <c r="T35" s="135"/>
    </row>
    <row r="36" spans="1:20" ht="21.75" customHeight="1" x14ac:dyDescent="0.2">
      <c r="A36" s="228"/>
      <c r="B36" s="101" t="s">
        <v>72</v>
      </c>
      <c r="C36" s="78">
        <f t="shared" ref="C36:I36" si="13">C34+C35</f>
        <v>3.38</v>
      </c>
      <c r="D36" s="78">
        <f t="shared" si="13"/>
        <v>3.38</v>
      </c>
      <c r="E36" s="78">
        <f>(E34+E35)</f>
        <v>3.34</v>
      </c>
      <c r="F36" s="78">
        <v>3.22</v>
      </c>
      <c r="G36" s="78">
        <v>2.71</v>
      </c>
      <c r="H36" s="78">
        <f t="shared" si="13"/>
        <v>2.97</v>
      </c>
      <c r="I36" s="78">
        <f t="shared" si="13"/>
        <v>3</v>
      </c>
      <c r="J36" s="78">
        <f>(J34+J35)</f>
        <v>3.1429399999999998</v>
      </c>
      <c r="K36" s="78">
        <v>2.9978200000000004</v>
      </c>
      <c r="L36" s="78">
        <v>2.3522799999999999</v>
      </c>
      <c r="M36" s="76">
        <f t="shared" si="11"/>
        <v>878.69822485207101</v>
      </c>
      <c r="N36" s="76">
        <f t="shared" si="11"/>
        <v>887.5739644970414</v>
      </c>
      <c r="O36" s="76">
        <f t="shared" si="11"/>
        <v>941</v>
      </c>
      <c r="P36" s="76">
        <f t="shared" si="11"/>
        <v>931</v>
      </c>
      <c r="Q36" s="76">
        <f t="shared" si="11"/>
        <v>868</v>
      </c>
      <c r="R36" s="135"/>
      <c r="S36" s="135"/>
      <c r="T36" s="135"/>
    </row>
    <row r="37" spans="1:20" s="6" customFormat="1" ht="21.75" customHeight="1" x14ac:dyDescent="0.2">
      <c r="A37" s="165" t="s">
        <v>15</v>
      </c>
      <c r="B37" s="4" t="s">
        <v>2</v>
      </c>
      <c r="C37" s="78">
        <v>0.89</v>
      </c>
      <c r="D37" s="78">
        <v>0.93</v>
      </c>
      <c r="E37" s="63">
        <v>0.97</v>
      </c>
      <c r="F37" s="63">
        <v>1.01</v>
      </c>
      <c r="G37" s="63">
        <v>2.0499999999999998</v>
      </c>
      <c r="H37" s="78">
        <v>0.92</v>
      </c>
      <c r="I37" s="78">
        <v>0.96</v>
      </c>
      <c r="J37" s="63">
        <v>1.01</v>
      </c>
      <c r="K37" s="63">
        <v>1.0504</v>
      </c>
      <c r="L37" s="63">
        <v>2.1483999999999996</v>
      </c>
      <c r="M37" s="76">
        <f t="shared" si="11"/>
        <v>1033.7078651685395</v>
      </c>
      <c r="N37" s="76">
        <f t="shared" si="11"/>
        <v>1032.258064516129</v>
      </c>
      <c r="O37" s="76">
        <f t="shared" si="11"/>
        <v>1041.2371134020618</v>
      </c>
      <c r="P37" s="76">
        <f t="shared" si="11"/>
        <v>1040</v>
      </c>
      <c r="Q37" s="76">
        <f t="shared" si="11"/>
        <v>1047.9999999999998</v>
      </c>
      <c r="R37" s="135"/>
      <c r="S37" s="135"/>
      <c r="T37" s="135"/>
    </row>
    <row r="38" spans="1:20" s="6" customFormat="1" ht="24.75" customHeight="1" x14ac:dyDescent="0.2">
      <c r="A38" s="17"/>
      <c r="B38" s="17"/>
      <c r="C38" s="46"/>
      <c r="D38" s="46"/>
      <c r="H38" s="46"/>
      <c r="I38" s="46"/>
      <c r="M38" s="48"/>
      <c r="N38" s="75"/>
      <c r="O38" s="75"/>
      <c r="P38" s="48" t="s">
        <v>85</v>
      </c>
      <c r="Q38" s="48"/>
      <c r="R38" s="48"/>
      <c r="S38" s="48"/>
      <c r="T38" s="48"/>
    </row>
    <row r="39" spans="1:20" ht="42.75" customHeight="1" x14ac:dyDescent="0.2">
      <c r="A39" s="227" t="s">
        <v>100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75"/>
      <c r="P39" s="75"/>
      <c r="Q39" s="75"/>
      <c r="R39" s="75"/>
      <c r="S39" s="75"/>
      <c r="T39" s="75"/>
    </row>
    <row r="40" spans="1:20" ht="19.5" customHeight="1" x14ac:dyDescent="0.2">
      <c r="A40" s="209" t="s">
        <v>77</v>
      </c>
      <c r="B40" s="213" t="s">
        <v>79</v>
      </c>
      <c r="C40" s="220" t="s">
        <v>114</v>
      </c>
      <c r="D40" s="221"/>
      <c r="E40" s="221"/>
      <c r="F40" s="221"/>
      <c r="G40" s="222"/>
      <c r="H40" s="220" t="s">
        <v>81</v>
      </c>
      <c r="I40" s="221"/>
      <c r="J40" s="221"/>
      <c r="K40" s="221"/>
      <c r="L40" s="222"/>
      <c r="M40" s="213" t="s">
        <v>78</v>
      </c>
      <c r="N40" s="213"/>
      <c r="O40" s="213"/>
      <c r="P40" s="213"/>
      <c r="Q40" s="213"/>
      <c r="R40" s="108"/>
      <c r="S40" s="108"/>
      <c r="T40" s="108"/>
    </row>
    <row r="41" spans="1:20" ht="25.5" customHeight="1" x14ac:dyDescent="0.2">
      <c r="A41" s="209"/>
      <c r="B41" s="213"/>
      <c r="C41" s="99" t="s">
        <v>107</v>
      </c>
      <c r="D41" s="99" t="s">
        <v>108</v>
      </c>
      <c r="E41" s="164" t="s">
        <v>111</v>
      </c>
      <c r="F41" s="164" t="s">
        <v>138</v>
      </c>
      <c r="G41" s="164" t="s">
        <v>141</v>
      </c>
      <c r="H41" s="99" t="s">
        <v>107</v>
      </c>
      <c r="I41" s="99" t="s">
        <v>108</v>
      </c>
      <c r="J41" s="164" t="s">
        <v>111</v>
      </c>
      <c r="K41" s="164" t="s">
        <v>138</v>
      </c>
      <c r="L41" s="164" t="s">
        <v>141</v>
      </c>
      <c r="M41" s="99" t="s">
        <v>107</v>
      </c>
      <c r="N41" s="99" t="s">
        <v>108</v>
      </c>
      <c r="O41" s="164" t="s">
        <v>111</v>
      </c>
      <c r="P41" s="164" t="s">
        <v>138</v>
      </c>
      <c r="Q41" s="164" t="s">
        <v>141</v>
      </c>
      <c r="R41" s="108"/>
      <c r="S41" s="108"/>
      <c r="T41" s="108"/>
    </row>
    <row r="42" spans="1:20" ht="24.75" customHeight="1" x14ac:dyDescent="0.2">
      <c r="A42" s="219" t="s">
        <v>101</v>
      </c>
      <c r="B42" s="4" t="s">
        <v>2</v>
      </c>
      <c r="C42" s="78">
        <f>16.98+1.41</f>
        <v>18.39</v>
      </c>
      <c r="D42" s="78">
        <f>21.19+4.36</f>
        <v>25.55</v>
      </c>
      <c r="E42" s="78">
        <v>16.23</v>
      </c>
      <c r="F42" s="78">
        <v>12.950000000000001</v>
      </c>
      <c r="G42" s="78">
        <v>11.08</v>
      </c>
      <c r="H42" s="78">
        <f>13.59+1.81</f>
        <v>15.4</v>
      </c>
      <c r="I42" s="78">
        <f>20.03+5.47</f>
        <v>25.5</v>
      </c>
      <c r="J42" s="78">
        <v>15.42</v>
      </c>
      <c r="K42" s="78">
        <v>13.91</v>
      </c>
      <c r="L42" s="78">
        <v>13.750000000000002</v>
      </c>
      <c r="M42" s="76">
        <f t="shared" ref="M42:M69" si="14">H42/C42*1000</f>
        <v>837.41163675910821</v>
      </c>
      <c r="N42" s="76">
        <f t="shared" ref="N42:N69" si="15">I42/D42*1000</f>
        <v>998.04305283757333</v>
      </c>
      <c r="O42" s="76">
        <f t="shared" ref="O42:O69" si="16">J42/E42*1000</f>
        <v>950.09242144177438</v>
      </c>
      <c r="P42" s="76">
        <f t="shared" ref="P42:Q69" si="17">K42/F42*1000</f>
        <v>1074.131274131274</v>
      </c>
      <c r="Q42" s="76">
        <f t="shared" si="17"/>
        <v>1240.9747292418774</v>
      </c>
      <c r="R42" s="135"/>
      <c r="S42" s="135"/>
      <c r="T42" s="135"/>
    </row>
    <row r="43" spans="1:20" ht="24.75" customHeight="1" x14ac:dyDescent="0.2">
      <c r="A43" s="219"/>
      <c r="B43" s="4" t="s">
        <v>71</v>
      </c>
      <c r="C43" s="78">
        <v>32.82</v>
      </c>
      <c r="D43" s="78">
        <v>19.39</v>
      </c>
      <c r="E43" s="78">
        <v>17.09</v>
      </c>
      <c r="F43" s="78">
        <v>14.92</v>
      </c>
      <c r="G43" s="78">
        <v>18.350000000000001</v>
      </c>
      <c r="H43" s="78">
        <v>40.76</v>
      </c>
      <c r="I43" s="78">
        <v>29.73</v>
      </c>
      <c r="J43" s="78">
        <v>22.353720000000003</v>
      </c>
      <c r="K43" s="78">
        <v>21.678759999999997</v>
      </c>
      <c r="L43" s="78">
        <v>29.543500000000005</v>
      </c>
      <c r="M43" s="76">
        <f t="shared" si="14"/>
        <v>1241.9256550883606</v>
      </c>
      <c r="N43" s="76">
        <f t="shared" si="15"/>
        <v>1533.2645693656523</v>
      </c>
      <c r="O43" s="76">
        <f t="shared" si="16"/>
        <v>1308.0000000000002</v>
      </c>
      <c r="P43" s="76">
        <f t="shared" si="17"/>
        <v>1452.9999999999998</v>
      </c>
      <c r="Q43" s="76">
        <f t="shared" si="17"/>
        <v>1610</v>
      </c>
      <c r="R43" s="135"/>
      <c r="S43" s="135"/>
      <c r="T43" s="135"/>
    </row>
    <row r="44" spans="1:20" ht="24.75" customHeight="1" x14ac:dyDescent="0.2">
      <c r="A44" s="219"/>
      <c r="B44" s="165" t="s">
        <v>72</v>
      </c>
      <c r="C44" s="81">
        <f t="shared" ref="C44:I44" si="18">C43+C42</f>
        <v>51.21</v>
      </c>
      <c r="D44" s="81">
        <f t="shared" si="18"/>
        <v>44.94</v>
      </c>
      <c r="E44" s="80">
        <f>E42+E43</f>
        <v>33.32</v>
      </c>
      <c r="F44" s="80">
        <v>27.87</v>
      </c>
      <c r="G44" s="80">
        <v>29.43</v>
      </c>
      <c r="H44" s="81">
        <f t="shared" si="18"/>
        <v>56.16</v>
      </c>
      <c r="I44" s="81">
        <f t="shared" si="18"/>
        <v>55.230000000000004</v>
      </c>
      <c r="J44" s="80">
        <f>J42+J43</f>
        <v>37.773720000000004</v>
      </c>
      <c r="K44" s="80">
        <v>35.588759999999994</v>
      </c>
      <c r="L44" s="80">
        <v>43.293500000000009</v>
      </c>
      <c r="M44" s="77">
        <f t="shared" si="14"/>
        <v>1096.6608084358522</v>
      </c>
      <c r="N44" s="77">
        <f t="shared" si="15"/>
        <v>1228.9719626168226</v>
      </c>
      <c r="O44" s="77">
        <f t="shared" si="16"/>
        <v>1133.6650660264106</v>
      </c>
      <c r="P44" s="77">
        <f t="shared" si="17"/>
        <v>1276.955866523143</v>
      </c>
      <c r="Q44" s="77">
        <f t="shared" si="17"/>
        <v>1471.0669384981313</v>
      </c>
      <c r="R44" s="135"/>
      <c r="S44" s="135"/>
      <c r="T44" s="135"/>
    </row>
    <row r="45" spans="1:20" ht="24.75" customHeight="1" x14ac:dyDescent="0.2">
      <c r="A45" s="165" t="s">
        <v>17</v>
      </c>
      <c r="B45" s="4" t="s">
        <v>2</v>
      </c>
      <c r="C45" s="78">
        <v>1</v>
      </c>
      <c r="D45" s="78">
        <v>1.2</v>
      </c>
      <c r="E45" s="78">
        <v>1.2</v>
      </c>
      <c r="F45" s="78">
        <v>1.3</v>
      </c>
      <c r="G45" s="78">
        <v>1.8</v>
      </c>
      <c r="H45" s="78">
        <v>1.9</v>
      </c>
      <c r="I45" s="78">
        <v>2.2999999999999998</v>
      </c>
      <c r="J45" s="78">
        <v>2.34</v>
      </c>
      <c r="K45" s="78">
        <v>2.5739999999999998</v>
      </c>
      <c r="L45" s="78">
        <v>3.5640000000000001</v>
      </c>
      <c r="M45" s="76">
        <f t="shared" si="14"/>
        <v>1900</v>
      </c>
      <c r="N45" s="76">
        <f t="shared" si="15"/>
        <v>1916.6666666666665</v>
      </c>
      <c r="O45" s="76">
        <f t="shared" si="16"/>
        <v>1950</v>
      </c>
      <c r="P45" s="76">
        <f t="shared" si="17"/>
        <v>1979.9999999999998</v>
      </c>
      <c r="Q45" s="76">
        <f t="shared" si="17"/>
        <v>1980</v>
      </c>
      <c r="R45" s="135"/>
      <c r="S45" s="135"/>
      <c r="T45" s="135"/>
    </row>
    <row r="46" spans="1:20" ht="24.75" customHeight="1" x14ac:dyDescent="0.2">
      <c r="A46" s="223" t="s">
        <v>18</v>
      </c>
      <c r="B46" s="4" t="s">
        <v>2</v>
      </c>
      <c r="C46" s="78">
        <v>516.85</v>
      </c>
      <c r="D46" s="78">
        <v>556.09100000000001</v>
      </c>
      <c r="E46" s="78">
        <v>640.57100000000003</v>
      </c>
      <c r="F46" s="78">
        <v>668.88900000000001</v>
      </c>
      <c r="G46" s="78">
        <v>734.55600000000004</v>
      </c>
      <c r="H46" s="78">
        <v>1048.7180000000001</v>
      </c>
      <c r="I46" s="78">
        <v>1140.614</v>
      </c>
      <c r="J46" s="78">
        <v>1259.3625860000002</v>
      </c>
      <c r="K46" s="78">
        <v>1375.235784</v>
      </c>
      <c r="L46" s="78">
        <v>1612.3504200000002</v>
      </c>
      <c r="M46" s="76">
        <f t="shared" si="14"/>
        <v>2029.0567863016352</v>
      </c>
      <c r="N46" s="76">
        <f t="shared" si="15"/>
        <v>2051.1283225227526</v>
      </c>
      <c r="O46" s="76">
        <f t="shared" si="16"/>
        <v>1966.0000000000002</v>
      </c>
      <c r="P46" s="76">
        <f t="shared" si="17"/>
        <v>2056</v>
      </c>
      <c r="Q46" s="76">
        <f t="shared" si="17"/>
        <v>2195.0000000000005</v>
      </c>
      <c r="R46" s="135"/>
      <c r="S46" s="135"/>
      <c r="T46" s="135"/>
    </row>
    <row r="47" spans="1:20" ht="24.75" customHeight="1" x14ac:dyDescent="0.2">
      <c r="A47" s="223"/>
      <c r="B47" s="4" t="s">
        <v>71</v>
      </c>
      <c r="C47" s="78">
        <v>0</v>
      </c>
      <c r="D47" s="78">
        <v>0</v>
      </c>
      <c r="E47" s="78"/>
      <c r="F47" s="78">
        <v>4.4770000000000003</v>
      </c>
      <c r="G47" s="78">
        <v>4.4660000000000002</v>
      </c>
      <c r="H47" s="78">
        <v>0</v>
      </c>
      <c r="I47" s="78">
        <v>0</v>
      </c>
      <c r="J47" s="78">
        <v>0</v>
      </c>
      <c r="K47" s="78">
        <v>7.0869999999999997</v>
      </c>
      <c r="L47" s="78">
        <v>6.9758920000000009</v>
      </c>
      <c r="M47" s="76" t="e">
        <f t="shared" si="14"/>
        <v>#DIV/0!</v>
      </c>
      <c r="N47" s="76" t="e">
        <f t="shared" si="15"/>
        <v>#DIV/0!</v>
      </c>
      <c r="O47" s="76" t="e">
        <f t="shared" si="16"/>
        <v>#DIV/0!</v>
      </c>
      <c r="P47" s="76">
        <f t="shared" si="17"/>
        <v>1582.9796738887646</v>
      </c>
      <c r="Q47" s="76">
        <f t="shared" si="17"/>
        <v>1562</v>
      </c>
      <c r="R47" s="135"/>
      <c r="S47" s="135"/>
      <c r="T47" s="135"/>
    </row>
    <row r="48" spans="1:20" ht="24.75" customHeight="1" x14ac:dyDescent="0.2">
      <c r="A48" s="223"/>
      <c r="B48" s="165" t="s">
        <v>72</v>
      </c>
      <c r="C48" s="81">
        <f t="shared" ref="C48:I48" si="19">C47+C46</f>
        <v>516.85</v>
      </c>
      <c r="D48" s="81">
        <f t="shared" si="19"/>
        <v>556.09100000000001</v>
      </c>
      <c r="E48" s="81">
        <f t="shared" si="19"/>
        <v>640.57100000000003</v>
      </c>
      <c r="F48" s="81">
        <v>673.36599999999999</v>
      </c>
      <c r="G48" s="81">
        <v>739.02200000000005</v>
      </c>
      <c r="H48" s="81">
        <f t="shared" si="19"/>
        <v>1048.7180000000001</v>
      </c>
      <c r="I48" s="81">
        <f t="shared" si="19"/>
        <v>1140.614</v>
      </c>
      <c r="J48" s="80">
        <f>J46+J47</f>
        <v>1259.3625860000002</v>
      </c>
      <c r="K48" s="80">
        <v>1382.322784</v>
      </c>
      <c r="L48" s="80">
        <v>1619.3263120000001</v>
      </c>
      <c r="M48" s="77">
        <f t="shared" si="14"/>
        <v>2029.0567863016352</v>
      </c>
      <c r="N48" s="77">
        <f t="shared" si="15"/>
        <v>2051.1283225227526</v>
      </c>
      <c r="O48" s="77">
        <f t="shared" si="16"/>
        <v>1966.0000000000002</v>
      </c>
      <c r="P48" s="77">
        <f t="shared" si="17"/>
        <v>2052.8550357457902</v>
      </c>
      <c r="Q48" s="77">
        <f t="shared" si="17"/>
        <v>2191.1747038653789</v>
      </c>
      <c r="R48" s="135"/>
      <c r="S48" s="135"/>
      <c r="T48" s="135"/>
    </row>
    <row r="49" spans="1:20" ht="24.75" customHeight="1" x14ac:dyDescent="0.2">
      <c r="A49" s="219" t="s">
        <v>19</v>
      </c>
      <c r="B49" s="4" t="s">
        <v>2</v>
      </c>
      <c r="C49" s="78">
        <v>222.82</v>
      </c>
      <c r="D49" s="78">
        <v>194.72</v>
      </c>
      <c r="E49" s="78">
        <v>188.54</v>
      </c>
      <c r="F49" s="78">
        <v>196.54</v>
      </c>
      <c r="G49" s="78">
        <v>209.16</v>
      </c>
      <c r="H49" s="78">
        <v>484.64</v>
      </c>
      <c r="I49" s="78">
        <v>305.19</v>
      </c>
      <c r="J49" s="78">
        <v>463.80839999999995</v>
      </c>
      <c r="K49" s="78">
        <v>426.29525999999998</v>
      </c>
      <c r="L49" s="78">
        <v>518.50764000000004</v>
      </c>
      <c r="M49" s="76">
        <f t="shared" si="14"/>
        <v>2175.029171528588</v>
      </c>
      <c r="N49" s="76">
        <f t="shared" si="15"/>
        <v>1567.3274445357438</v>
      </c>
      <c r="O49" s="76">
        <f t="shared" si="16"/>
        <v>2460</v>
      </c>
      <c r="P49" s="76">
        <f t="shared" si="17"/>
        <v>2169</v>
      </c>
      <c r="Q49" s="76">
        <f t="shared" si="17"/>
        <v>2479</v>
      </c>
      <c r="R49" s="135"/>
      <c r="S49" s="135"/>
      <c r="T49" s="135"/>
    </row>
    <row r="50" spans="1:20" ht="24.75" customHeight="1" x14ac:dyDescent="0.2">
      <c r="A50" s="219"/>
      <c r="B50" s="4" t="s">
        <v>71</v>
      </c>
      <c r="C50" s="78">
        <v>123.79</v>
      </c>
      <c r="D50" s="78">
        <v>87.77</v>
      </c>
      <c r="E50" s="78">
        <v>138.81</v>
      </c>
      <c r="F50" s="78">
        <v>138.94999999999999</v>
      </c>
      <c r="G50" s="78">
        <v>137.49</v>
      </c>
      <c r="H50" s="78">
        <v>407.65</v>
      </c>
      <c r="I50" s="78">
        <v>283.66000000000003</v>
      </c>
      <c r="J50" s="78">
        <v>543.71877000000006</v>
      </c>
      <c r="K50" s="78">
        <v>485.07444999999996</v>
      </c>
      <c r="L50" s="78">
        <v>514.48757999999998</v>
      </c>
      <c r="M50" s="76">
        <f t="shared" si="14"/>
        <v>3293.0769852168992</v>
      </c>
      <c r="N50" s="76">
        <f t="shared" si="15"/>
        <v>3231.8559872393757</v>
      </c>
      <c r="O50" s="76">
        <f t="shared" si="16"/>
        <v>3917.0000000000005</v>
      </c>
      <c r="P50" s="76">
        <f t="shared" si="17"/>
        <v>3491</v>
      </c>
      <c r="Q50" s="76">
        <f t="shared" si="17"/>
        <v>3741.9999999999995</v>
      </c>
      <c r="R50" s="135"/>
      <c r="S50" s="135"/>
      <c r="T50" s="135"/>
    </row>
    <row r="51" spans="1:20" ht="24.75" customHeight="1" x14ac:dyDescent="0.2">
      <c r="A51" s="219"/>
      <c r="B51" s="165" t="s">
        <v>72</v>
      </c>
      <c r="C51" s="81">
        <f t="shared" ref="C51:I51" si="20">C50+C49</f>
        <v>346.61</v>
      </c>
      <c r="D51" s="81">
        <f t="shared" si="20"/>
        <v>282.49</v>
      </c>
      <c r="E51" s="103">
        <f>E49+E50</f>
        <v>327.35000000000002</v>
      </c>
      <c r="F51" s="103">
        <v>335.31</v>
      </c>
      <c r="G51" s="103">
        <v>346.65</v>
      </c>
      <c r="H51" s="81">
        <f t="shared" si="20"/>
        <v>892.29</v>
      </c>
      <c r="I51" s="81">
        <f t="shared" si="20"/>
        <v>588.85</v>
      </c>
      <c r="J51" s="103">
        <f>J49+J50</f>
        <v>1007.5271700000001</v>
      </c>
      <c r="K51" s="103">
        <v>911.36970999999994</v>
      </c>
      <c r="L51" s="103">
        <v>1032.99522</v>
      </c>
      <c r="M51" s="77">
        <f t="shared" si="14"/>
        <v>2574.3342661781253</v>
      </c>
      <c r="N51" s="77">
        <f t="shared" si="15"/>
        <v>2084.4985663209318</v>
      </c>
      <c r="O51" s="77">
        <f t="shared" si="16"/>
        <v>3077.8285321521307</v>
      </c>
      <c r="P51" s="77">
        <f t="shared" si="17"/>
        <v>2717.9914407563151</v>
      </c>
      <c r="Q51" s="77">
        <f t="shared" si="17"/>
        <v>2979.9371700562533</v>
      </c>
      <c r="R51" s="135"/>
      <c r="S51" s="135"/>
      <c r="T51" s="135"/>
    </row>
    <row r="52" spans="1:20" ht="24.75" customHeight="1" x14ac:dyDescent="0.2">
      <c r="A52" s="219" t="s">
        <v>121</v>
      </c>
      <c r="B52" s="4" t="s">
        <v>2</v>
      </c>
      <c r="C52" s="78">
        <v>14</v>
      </c>
      <c r="D52" s="78">
        <v>26</v>
      </c>
      <c r="E52" s="78">
        <v>21</v>
      </c>
      <c r="F52" s="78">
        <v>13</v>
      </c>
      <c r="G52" s="78">
        <v>12</v>
      </c>
      <c r="H52" s="78">
        <v>21</v>
      </c>
      <c r="I52" s="78">
        <v>52</v>
      </c>
      <c r="J52" s="78">
        <v>45.948</v>
      </c>
      <c r="K52" s="78">
        <v>32.552</v>
      </c>
      <c r="L52" s="78">
        <v>32.915999999999997</v>
      </c>
      <c r="M52" s="76">
        <f t="shared" si="14"/>
        <v>1500</v>
      </c>
      <c r="N52" s="76">
        <f t="shared" si="15"/>
        <v>2000</v>
      </c>
      <c r="O52" s="76">
        <f t="shared" si="16"/>
        <v>2188</v>
      </c>
      <c r="P52" s="76">
        <f t="shared" si="17"/>
        <v>2504</v>
      </c>
      <c r="Q52" s="76">
        <f t="shared" si="17"/>
        <v>2743</v>
      </c>
      <c r="R52" s="135"/>
      <c r="S52" s="135"/>
      <c r="T52" s="135"/>
    </row>
    <row r="53" spans="1:20" ht="24.75" customHeight="1" x14ac:dyDescent="0.2">
      <c r="A53" s="219"/>
      <c r="B53" s="4" t="s">
        <v>71</v>
      </c>
      <c r="C53" s="78">
        <v>114</v>
      </c>
      <c r="D53" s="78">
        <v>140</v>
      </c>
      <c r="E53" s="78">
        <v>146</v>
      </c>
      <c r="F53" s="78">
        <v>113</v>
      </c>
      <c r="G53" s="78">
        <v>99</v>
      </c>
      <c r="H53" s="78">
        <v>185</v>
      </c>
      <c r="I53" s="78">
        <v>290</v>
      </c>
      <c r="J53" s="78">
        <v>326.45600000000002</v>
      </c>
      <c r="K53" s="78">
        <v>281.25700000000001</v>
      </c>
      <c r="L53" s="78">
        <v>232.452</v>
      </c>
      <c r="M53" s="76">
        <f t="shared" si="14"/>
        <v>1622.8070175438595</v>
      </c>
      <c r="N53" s="76">
        <f t="shared" si="15"/>
        <v>2071.4285714285716</v>
      </c>
      <c r="O53" s="76">
        <f t="shared" si="16"/>
        <v>2236</v>
      </c>
      <c r="P53" s="76">
        <f t="shared" si="17"/>
        <v>2489</v>
      </c>
      <c r="Q53" s="76">
        <f t="shared" si="17"/>
        <v>2348</v>
      </c>
      <c r="R53" s="135"/>
      <c r="S53" s="135"/>
      <c r="T53" s="135"/>
    </row>
    <row r="54" spans="1:20" ht="24.75" customHeight="1" x14ac:dyDescent="0.2">
      <c r="A54" s="219"/>
      <c r="B54" s="165" t="s">
        <v>72</v>
      </c>
      <c r="C54" s="81">
        <f t="shared" ref="C54:I54" si="21">C53+C52</f>
        <v>128</v>
      </c>
      <c r="D54" s="81">
        <f t="shared" si="21"/>
        <v>166</v>
      </c>
      <c r="E54" s="80">
        <f>E52+E53</f>
        <v>167</v>
      </c>
      <c r="F54" s="80">
        <v>126</v>
      </c>
      <c r="G54" s="80">
        <v>111</v>
      </c>
      <c r="H54" s="81">
        <f t="shared" si="21"/>
        <v>206</v>
      </c>
      <c r="I54" s="81">
        <f t="shared" si="21"/>
        <v>342</v>
      </c>
      <c r="J54" s="80">
        <f>J52+J53</f>
        <v>372.404</v>
      </c>
      <c r="K54" s="80">
        <v>313.80900000000003</v>
      </c>
      <c r="L54" s="80">
        <v>265.36799999999999</v>
      </c>
      <c r="M54" s="77">
        <f t="shared" si="14"/>
        <v>1609.375</v>
      </c>
      <c r="N54" s="77">
        <f t="shared" si="15"/>
        <v>2060.2409638554213</v>
      </c>
      <c r="O54" s="77">
        <f t="shared" si="16"/>
        <v>2229.9640718562873</v>
      </c>
      <c r="P54" s="77">
        <f t="shared" si="17"/>
        <v>2490.5476190476193</v>
      </c>
      <c r="Q54" s="77">
        <f t="shared" si="17"/>
        <v>2390.7027027027029</v>
      </c>
      <c r="R54" s="135"/>
      <c r="S54" s="135"/>
      <c r="T54" s="135"/>
    </row>
    <row r="55" spans="1:20" ht="24.75" customHeight="1" x14ac:dyDescent="0.2">
      <c r="A55" s="219" t="s">
        <v>20</v>
      </c>
      <c r="B55" s="4" t="s">
        <v>2</v>
      </c>
      <c r="C55" s="78">
        <v>0.52900000000000003</v>
      </c>
      <c r="D55" s="78">
        <f>0.452+0.381</f>
        <v>0.83299999999999996</v>
      </c>
      <c r="E55" s="78">
        <v>1.121</v>
      </c>
      <c r="F55" s="78">
        <v>1.2569999999999999</v>
      </c>
      <c r="G55" s="78">
        <v>1.2070000000000001</v>
      </c>
      <c r="H55" s="78">
        <v>0.60599999999999998</v>
      </c>
      <c r="I55" s="78">
        <f>0.592+0.499</f>
        <v>1.091</v>
      </c>
      <c r="J55" s="78">
        <v>1.343</v>
      </c>
      <c r="K55" s="78">
        <v>1.669</v>
      </c>
      <c r="L55" s="78">
        <v>1.61</v>
      </c>
      <c r="M55" s="76">
        <f t="shared" si="14"/>
        <v>1145.5576559546312</v>
      </c>
      <c r="N55" s="76">
        <f t="shared" si="15"/>
        <v>1309.7238895558223</v>
      </c>
      <c r="O55" s="76">
        <f t="shared" si="16"/>
        <v>1198.0374665477252</v>
      </c>
      <c r="P55" s="76">
        <f t="shared" si="17"/>
        <v>1327.7645186953064</v>
      </c>
      <c r="Q55" s="76">
        <f t="shared" si="17"/>
        <v>1333.8856669428335</v>
      </c>
      <c r="R55" s="135"/>
      <c r="S55" s="135"/>
      <c r="T55" s="135"/>
    </row>
    <row r="56" spans="1:20" ht="24.75" customHeight="1" x14ac:dyDescent="0.2">
      <c r="A56" s="219"/>
      <c r="B56" s="4" t="s">
        <v>71</v>
      </c>
      <c r="C56" s="78">
        <v>0.84599999999999997</v>
      </c>
      <c r="D56" s="78">
        <v>1</v>
      </c>
      <c r="E56" s="78">
        <v>1.1479999999999999</v>
      </c>
      <c r="F56" s="78">
        <v>0.99399999999999999</v>
      </c>
      <c r="G56" s="78">
        <v>1.1600000000000001</v>
      </c>
      <c r="H56" s="78">
        <v>0.98099999999999998</v>
      </c>
      <c r="I56" s="78">
        <v>1.5840000000000001</v>
      </c>
      <c r="J56" s="78">
        <v>1.4131879999999999</v>
      </c>
      <c r="K56" s="78">
        <v>1.4293720000000001</v>
      </c>
      <c r="L56" s="78">
        <v>1.75</v>
      </c>
      <c r="M56" s="76">
        <f t="shared" si="14"/>
        <v>1159.5744680851064</v>
      </c>
      <c r="N56" s="76">
        <f t="shared" si="15"/>
        <v>1584</v>
      </c>
      <c r="O56" s="76">
        <f t="shared" si="16"/>
        <v>1231</v>
      </c>
      <c r="P56" s="76">
        <f t="shared" si="17"/>
        <v>1438.0000000000002</v>
      </c>
      <c r="Q56" s="76">
        <f t="shared" si="17"/>
        <v>1508.6206896551721</v>
      </c>
      <c r="R56" s="135"/>
      <c r="S56" s="135"/>
      <c r="T56" s="135"/>
    </row>
    <row r="57" spans="1:20" ht="24.75" customHeight="1" x14ac:dyDescent="0.2">
      <c r="A57" s="219"/>
      <c r="B57" s="4" t="s">
        <v>72</v>
      </c>
      <c r="C57" s="63">
        <f t="shared" ref="C57:I57" si="22">C56+C55</f>
        <v>1.375</v>
      </c>
      <c r="D57" s="63">
        <f t="shared" si="22"/>
        <v>1.833</v>
      </c>
      <c r="E57" s="78">
        <f>E55+E56</f>
        <v>2.2690000000000001</v>
      </c>
      <c r="F57" s="78">
        <v>2.2509999999999999</v>
      </c>
      <c r="G57" s="78">
        <v>2.367</v>
      </c>
      <c r="H57" s="63">
        <f t="shared" si="22"/>
        <v>1.587</v>
      </c>
      <c r="I57" s="63">
        <f t="shared" si="22"/>
        <v>2.6749999999999998</v>
      </c>
      <c r="J57" s="78">
        <f>J55+J56</f>
        <v>2.7561879999999999</v>
      </c>
      <c r="K57" s="78">
        <v>3.0983720000000003</v>
      </c>
      <c r="L57" s="78">
        <v>3.3600000000000003</v>
      </c>
      <c r="M57" s="76">
        <f t="shared" si="14"/>
        <v>1154.1818181818182</v>
      </c>
      <c r="N57" s="76">
        <f t="shared" si="15"/>
        <v>1459.3562465902892</v>
      </c>
      <c r="O57" s="76">
        <f t="shared" si="16"/>
        <v>1214.7148523578669</v>
      </c>
      <c r="P57" s="76">
        <f t="shared" si="17"/>
        <v>1376.4424700133275</v>
      </c>
      <c r="Q57" s="76">
        <f t="shared" si="17"/>
        <v>1419.5183776932827</v>
      </c>
      <c r="R57" s="135"/>
      <c r="S57" s="135"/>
      <c r="T57" s="135"/>
    </row>
    <row r="58" spans="1:20" ht="24.75" customHeight="1" x14ac:dyDescent="0.2">
      <c r="A58" s="165" t="s">
        <v>22</v>
      </c>
      <c r="B58" s="4" t="s">
        <v>2</v>
      </c>
      <c r="C58" s="80">
        <v>97</v>
      </c>
      <c r="D58" s="80">
        <v>94</v>
      </c>
      <c r="E58" s="80">
        <v>88</v>
      </c>
      <c r="F58" s="80">
        <v>101</v>
      </c>
      <c r="G58" s="80">
        <v>94</v>
      </c>
      <c r="H58" s="80">
        <v>65</v>
      </c>
      <c r="I58" s="80">
        <v>85</v>
      </c>
      <c r="J58" s="80">
        <v>89.144000000000005</v>
      </c>
      <c r="K58" s="80">
        <v>100.39400000000001</v>
      </c>
      <c r="L58" s="80">
        <v>88.548000000000002</v>
      </c>
      <c r="M58" s="77">
        <f t="shared" si="14"/>
        <v>670.10309278350508</v>
      </c>
      <c r="N58" s="77">
        <f t="shared" si="15"/>
        <v>904.25531914893622</v>
      </c>
      <c r="O58" s="77">
        <f t="shared" si="16"/>
        <v>1013.0000000000001</v>
      </c>
      <c r="P58" s="77">
        <f t="shared" si="17"/>
        <v>994.00000000000011</v>
      </c>
      <c r="Q58" s="77">
        <f t="shared" si="17"/>
        <v>942.00000000000011</v>
      </c>
      <c r="R58" s="135"/>
      <c r="S58" s="135"/>
      <c r="T58" s="135"/>
    </row>
    <row r="59" spans="1:20" ht="24.75" customHeight="1" x14ac:dyDescent="0.2">
      <c r="A59" s="165" t="s">
        <v>84</v>
      </c>
      <c r="B59" s="4" t="s">
        <v>2</v>
      </c>
      <c r="C59" s="78">
        <v>1.06</v>
      </c>
      <c r="D59" s="78">
        <v>1</v>
      </c>
      <c r="E59" s="78">
        <v>1</v>
      </c>
      <c r="F59" s="78">
        <v>1</v>
      </c>
      <c r="G59" s="78">
        <v>1</v>
      </c>
      <c r="H59" s="78">
        <v>1.5</v>
      </c>
      <c r="I59" s="78">
        <v>1</v>
      </c>
      <c r="J59" s="78">
        <v>1.377</v>
      </c>
      <c r="K59" s="78">
        <v>1.038</v>
      </c>
      <c r="L59" s="78">
        <v>1.089</v>
      </c>
      <c r="M59" s="76">
        <f t="shared" si="14"/>
        <v>1415.0943396226414</v>
      </c>
      <c r="N59" s="76">
        <f t="shared" si="15"/>
        <v>1000</v>
      </c>
      <c r="O59" s="76">
        <f t="shared" si="16"/>
        <v>1377</v>
      </c>
      <c r="P59" s="76">
        <f t="shared" si="17"/>
        <v>1038</v>
      </c>
      <c r="Q59" s="76">
        <f t="shared" si="17"/>
        <v>1089</v>
      </c>
      <c r="R59" s="135"/>
      <c r="S59" s="135"/>
      <c r="T59" s="135"/>
    </row>
    <row r="60" spans="1:20" ht="24.75" customHeight="1" x14ac:dyDescent="0.2">
      <c r="A60" s="219" t="s">
        <v>23</v>
      </c>
      <c r="B60" s="4" t="s">
        <v>2</v>
      </c>
      <c r="C60" s="78">
        <v>2.1070000000000002</v>
      </c>
      <c r="D60" s="78">
        <v>2.2429999999999999</v>
      </c>
      <c r="E60" s="78">
        <v>2.5</v>
      </c>
      <c r="F60" s="78">
        <v>3.9169999999999998</v>
      </c>
      <c r="G60" s="78">
        <v>4.1100000000000003</v>
      </c>
      <c r="H60" s="78">
        <v>1.9</v>
      </c>
      <c r="I60" s="78">
        <v>2.1619999999999999</v>
      </c>
      <c r="J60" s="78">
        <v>2.4</v>
      </c>
      <c r="K60" s="78">
        <v>3.8543279999999998</v>
      </c>
      <c r="L60" s="78">
        <v>4.6032000000000011</v>
      </c>
      <c r="M60" s="76">
        <f t="shared" si="14"/>
        <v>901.75605125771233</v>
      </c>
      <c r="N60" s="76">
        <f t="shared" si="15"/>
        <v>963.88765046812307</v>
      </c>
      <c r="O60" s="76">
        <f t="shared" si="16"/>
        <v>960</v>
      </c>
      <c r="P60" s="76">
        <f t="shared" si="17"/>
        <v>984</v>
      </c>
      <c r="Q60" s="76">
        <f t="shared" si="17"/>
        <v>1120</v>
      </c>
      <c r="R60" s="135"/>
      <c r="S60" s="135"/>
      <c r="T60" s="135"/>
    </row>
    <row r="61" spans="1:20" ht="24.75" customHeight="1" x14ac:dyDescent="0.2">
      <c r="A61" s="219"/>
      <c r="B61" s="4" t="s">
        <v>71</v>
      </c>
      <c r="C61" s="78">
        <f>20+62.098</f>
        <v>82.097999999999999</v>
      </c>
      <c r="D61" s="78">
        <f>13.747+61</f>
        <v>74.747</v>
      </c>
      <c r="E61" s="78">
        <v>68</v>
      </c>
      <c r="F61" s="78">
        <v>63.494999999999997</v>
      </c>
      <c r="G61" s="78">
        <v>66.92</v>
      </c>
      <c r="H61" s="78">
        <f>38+150</f>
        <v>188</v>
      </c>
      <c r="I61" s="78">
        <f>25.293+148</f>
        <v>173.29300000000001</v>
      </c>
      <c r="J61" s="78">
        <v>162.80000000000004</v>
      </c>
      <c r="K61" s="78">
        <v>184.09700000000001</v>
      </c>
      <c r="L61" s="78">
        <v>151.494</v>
      </c>
      <c r="M61" s="76">
        <f t="shared" si="14"/>
        <v>2289.9461619040658</v>
      </c>
      <c r="N61" s="76">
        <f t="shared" si="15"/>
        <v>2318.3940492595025</v>
      </c>
      <c r="O61" s="76">
        <f t="shared" si="16"/>
        <v>2394.1176470588239</v>
      </c>
      <c r="P61" s="76">
        <f t="shared" si="17"/>
        <v>2899.3936530435471</v>
      </c>
      <c r="Q61" s="76">
        <f t="shared" si="17"/>
        <v>2263.8075313807531</v>
      </c>
      <c r="R61" s="135"/>
      <c r="S61" s="135"/>
      <c r="T61" s="135"/>
    </row>
    <row r="62" spans="1:20" s="6" customFormat="1" ht="24.75" customHeight="1" x14ac:dyDescent="0.2">
      <c r="A62" s="219"/>
      <c r="B62" s="165" t="s">
        <v>72</v>
      </c>
      <c r="C62" s="81">
        <f t="shared" ref="C62:I62" si="23">C61+C60</f>
        <v>84.204999999999998</v>
      </c>
      <c r="D62" s="81">
        <f t="shared" si="23"/>
        <v>76.989999999999995</v>
      </c>
      <c r="E62" s="80">
        <f>E60+E61</f>
        <v>70.5</v>
      </c>
      <c r="F62" s="80">
        <v>67.411999999999992</v>
      </c>
      <c r="G62" s="80">
        <v>71.03</v>
      </c>
      <c r="H62" s="81">
        <f t="shared" si="23"/>
        <v>189.9</v>
      </c>
      <c r="I62" s="81">
        <f t="shared" si="23"/>
        <v>175.45500000000001</v>
      </c>
      <c r="J62" s="80">
        <f>J60+J61</f>
        <v>165.20000000000005</v>
      </c>
      <c r="K62" s="80">
        <v>187.95132800000002</v>
      </c>
      <c r="L62" s="80">
        <v>156.09719999999999</v>
      </c>
      <c r="M62" s="77">
        <f t="shared" si="14"/>
        <v>2255.2104981889438</v>
      </c>
      <c r="N62" s="77">
        <f t="shared" si="15"/>
        <v>2278.9323288738797</v>
      </c>
      <c r="O62" s="77">
        <f t="shared" si="16"/>
        <v>2343.2624113475185</v>
      </c>
      <c r="P62" s="77">
        <f t="shared" si="17"/>
        <v>2788.098973476533</v>
      </c>
      <c r="Q62" s="77">
        <f t="shared" si="17"/>
        <v>2197.6235393495704</v>
      </c>
      <c r="R62" s="135"/>
      <c r="S62" s="135"/>
      <c r="T62" s="135"/>
    </row>
    <row r="63" spans="1:20" s="6" customFormat="1" ht="24.75" hidden="1" customHeight="1" x14ac:dyDescent="0.2">
      <c r="A63" s="165" t="s">
        <v>53</v>
      </c>
      <c r="B63" s="4" t="s">
        <v>2</v>
      </c>
      <c r="C63" s="78"/>
      <c r="D63" s="78"/>
      <c r="E63" s="78"/>
      <c r="F63" s="78"/>
      <c r="G63" s="78"/>
      <c r="H63" s="78"/>
      <c r="I63" s="78"/>
      <c r="J63" s="63"/>
      <c r="K63" s="63"/>
      <c r="L63" s="63"/>
      <c r="M63" s="76" t="e">
        <f t="shared" si="14"/>
        <v>#DIV/0!</v>
      </c>
      <c r="N63" s="76" t="e">
        <f t="shared" si="15"/>
        <v>#DIV/0!</v>
      </c>
      <c r="O63" s="76" t="e">
        <f t="shared" si="16"/>
        <v>#DIV/0!</v>
      </c>
      <c r="P63" s="76" t="e">
        <f t="shared" si="17"/>
        <v>#DIV/0!</v>
      </c>
      <c r="Q63" s="76" t="e">
        <f t="shared" si="17"/>
        <v>#DIV/0!</v>
      </c>
      <c r="R63" s="135"/>
      <c r="S63" s="135"/>
      <c r="T63" s="135"/>
    </row>
    <row r="64" spans="1:20" s="6" customFormat="1" ht="24.75" customHeight="1" x14ac:dyDescent="0.2">
      <c r="A64" s="223" t="s">
        <v>136</v>
      </c>
      <c r="B64" s="4" t="s">
        <v>2</v>
      </c>
      <c r="C64" s="78">
        <f>0.005+0.239</f>
        <v>0.24399999999999999</v>
      </c>
      <c r="D64" s="78">
        <f>0.001+0.212</f>
        <v>0.21299999999999999</v>
      </c>
      <c r="E64" s="78">
        <v>0.248</v>
      </c>
      <c r="F64" s="78">
        <v>0.27400000000000002</v>
      </c>
      <c r="G64" s="78">
        <v>0.23200000000000001</v>
      </c>
      <c r="H64" s="78">
        <f>0.011+0.717</f>
        <v>0.72799999999999998</v>
      </c>
      <c r="I64" s="78">
        <f>0.003+0.636</f>
        <v>0.63900000000000001</v>
      </c>
      <c r="J64" s="63">
        <v>0.74399999999999999</v>
      </c>
      <c r="K64" s="63">
        <v>0.876</v>
      </c>
      <c r="L64" s="63">
        <v>0.7</v>
      </c>
      <c r="M64" s="76">
        <f t="shared" si="14"/>
        <v>2983.6065573770493</v>
      </c>
      <c r="N64" s="76">
        <f t="shared" si="15"/>
        <v>3000</v>
      </c>
      <c r="O64" s="76">
        <f t="shared" si="16"/>
        <v>3000</v>
      </c>
      <c r="P64" s="76">
        <f t="shared" si="17"/>
        <v>3197.0802919708026</v>
      </c>
      <c r="Q64" s="76">
        <f t="shared" si="17"/>
        <v>3017.2413793103442</v>
      </c>
      <c r="R64" s="135"/>
      <c r="S64" s="135"/>
      <c r="T64" s="135"/>
    </row>
    <row r="65" spans="1:20" s="6" customFormat="1" ht="24.75" customHeight="1" x14ac:dyDescent="0.2">
      <c r="A65" s="223"/>
      <c r="B65" s="4" t="s">
        <v>71</v>
      </c>
      <c r="C65" s="78">
        <v>5.5E-2</v>
      </c>
      <c r="D65" s="78">
        <v>0.04</v>
      </c>
      <c r="E65" s="78">
        <v>2.5999999999999999E-2</v>
      </c>
      <c r="F65" s="78">
        <v>1.2999999999999999E-2</v>
      </c>
      <c r="G65" s="78">
        <v>2.1000000000000001E-2</v>
      </c>
      <c r="H65" s="78">
        <v>0.16500000000000001</v>
      </c>
      <c r="I65" s="78">
        <v>0.112</v>
      </c>
      <c r="J65" s="63">
        <v>7.8E-2</v>
      </c>
      <c r="K65" s="63">
        <v>4.2002999999999999E-2</v>
      </c>
      <c r="L65" s="63">
        <v>6.3E-2</v>
      </c>
      <c r="M65" s="76">
        <f t="shared" si="14"/>
        <v>3000</v>
      </c>
      <c r="N65" s="76">
        <f t="shared" si="15"/>
        <v>2800</v>
      </c>
      <c r="O65" s="76">
        <f t="shared" si="16"/>
        <v>3000</v>
      </c>
      <c r="P65" s="76">
        <f t="shared" si="17"/>
        <v>3231</v>
      </c>
      <c r="Q65" s="76">
        <f t="shared" si="17"/>
        <v>3000</v>
      </c>
      <c r="R65" s="135"/>
      <c r="S65" s="135"/>
      <c r="T65" s="135"/>
    </row>
    <row r="66" spans="1:20" s="6" customFormat="1" ht="24.75" customHeight="1" x14ac:dyDescent="0.2">
      <c r="A66" s="223"/>
      <c r="B66" s="4" t="s">
        <v>72</v>
      </c>
      <c r="C66" s="63">
        <f t="shared" ref="C66:I66" si="24">C65+C64</f>
        <v>0.29899999999999999</v>
      </c>
      <c r="D66" s="63">
        <f t="shared" si="24"/>
        <v>0.253</v>
      </c>
      <c r="E66" s="78">
        <f>E64+E65</f>
        <v>0.27400000000000002</v>
      </c>
      <c r="F66" s="78">
        <v>0.28700000000000003</v>
      </c>
      <c r="G66" s="78">
        <v>0.253</v>
      </c>
      <c r="H66" s="63">
        <f t="shared" si="24"/>
        <v>0.89300000000000002</v>
      </c>
      <c r="I66" s="63">
        <f t="shared" si="24"/>
        <v>0.751</v>
      </c>
      <c r="J66" s="78">
        <f>J64+J65</f>
        <v>0.82199999999999995</v>
      </c>
      <c r="K66" s="78">
        <v>0.91800300000000001</v>
      </c>
      <c r="L66" s="78">
        <v>6.3139200000000006E-2</v>
      </c>
      <c r="M66" s="76">
        <f t="shared" si="14"/>
        <v>2986.6220735785955</v>
      </c>
      <c r="N66" s="76">
        <f t="shared" si="15"/>
        <v>2968.3794466403165</v>
      </c>
      <c r="O66" s="76">
        <f t="shared" si="16"/>
        <v>2999.9999999999995</v>
      </c>
      <c r="P66" s="76">
        <f t="shared" si="17"/>
        <v>3198.6167247386757</v>
      </c>
      <c r="Q66" s="76">
        <f t="shared" si="17"/>
        <v>249.56205533596841</v>
      </c>
      <c r="R66" s="135"/>
      <c r="S66" s="135"/>
      <c r="T66" s="135"/>
    </row>
    <row r="67" spans="1:20" s="6" customFormat="1" ht="24.75" customHeight="1" x14ac:dyDescent="0.2">
      <c r="A67" s="224" t="s">
        <v>24</v>
      </c>
      <c r="B67" s="165" t="s">
        <v>2</v>
      </c>
      <c r="C67" s="81">
        <f>C64+C60+C59+C58+C55+C52+C49+C46+C45+C42+C37+C34+C31+C28+C25+C22+C21+C20+C19+C18+C15+C12+C11+C10+C9+C6</f>
        <v>3837.7700000000004</v>
      </c>
      <c r="D67" s="81">
        <f>D64+D60+D59+D58+D55+D52+D49+D46+D45+D42+D37+D34+D31+D28+D25+D22+D21+D20+D19+D18+D15+D12+D11+D10+D9+D6</f>
        <v>4578.4619999999995</v>
      </c>
      <c r="E67" s="81">
        <f>E64+E60+E59+E58+E55+E52+E49+E46+E45+E42+E39+E37+E34+E31+E28+E25+E22+E21+E20+E19+E18+E15+E12+E11+E10+E9+E6</f>
        <v>4142.0309999999999</v>
      </c>
      <c r="F67" s="81">
        <f>F64+F60+F59+F58+F55+F52+F49+F46+F45+F42+F39+F37+F34+F31+F28+F25+F22+F21+F20+F19+F18+F15+F12+F11+F10+F9+F6</f>
        <v>4131.9415999999992</v>
      </c>
      <c r="G67" s="81">
        <v>4160.4879999999994</v>
      </c>
      <c r="H67" s="81">
        <f>H64+H60+H59+H58+H55+H52+H49+H46+H45+H42+H37+H34+H31+H28+H25+H22+H21+H20+H19+H18+H15+H12+H11+H10+H9+H6</f>
        <v>5367.5046000000011</v>
      </c>
      <c r="I67" s="81">
        <f>I64+I60+I59+I58+I55+I52+I49+I46+I45+I42+I37+I34+I31+I28+I25+I22+I21+I20+I19+I18+I15+I12+I11+I10+I9+I6</f>
        <v>6047.6369999999997</v>
      </c>
      <c r="J67" s="81">
        <f>J64+J60+J59+J58+J55+J52+J49+J46+J45+J42+J39+J37+J34+J31+J28+J25+J22+J21+J20+J19+J18+J15+J12+J11+J10+J9+J6</f>
        <v>7595.355176</v>
      </c>
      <c r="K67" s="81">
        <f>K64+K60+K59+K58+K55+K52+K49+K46+K45+K42+K39+K37+K34+K31+K28+K25+K22+K21+K20+K19+K18+K15+K12+K11+K10+K9+K6</f>
        <v>5386.9723465999987</v>
      </c>
      <c r="L67" s="81">
        <f>L64+L60+L59+L58+L55+L52+L49+L46+L45+L42+L39+L37+L34+L31+L28+L25+L22+L21+L20+L19+L18+L15+L12+L11+L10+L9+L6</f>
        <v>8388.9477310000002</v>
      </c>
      <c r="M67" s="77">
        <f t="shared" si="14"/>
        <v>1398.5998639835113</v>
      </c>
      <c r="N67" s="77">
        <f t="shared" si="15"/>
        <v>1320.8883245072254</v>
      </c>
      <c r="O67" s="77">
        <f t="shared" si="16"/>
        <v>1833.7272647162708</v>
      </c>
      <c r="P67" s="77">
        <f t="shared" si="17"/>
        <v>1303.7387427256956</v>
      </c>
      <c r="Q67" s="77">
        <f t="shared" si="17"/>
        <v>2016.3374419058537</v>
      </c>
      <c r="R67" s="136"/>
      <c r="S67" s="136"/>
      <c r="T67" s="135"/>
    </row>
    <row r="68" spans="1:20" s="6" customFormat="1" ht="24.75" customHeight="1" x14ac:dyDescent="0.2">
      <c r="A68" s="225"/>
      <c r="B68" s="165" t="s">
        <v>71</v>
      </c>
      <c r="C68" s="81">
        <f>C65+C61+C56+C53+C50+C47+C43+C32+C26+C23+C16+C13+C7+C35+C29</f>
        <v>758.52600000000007</v>
      </c>
      <c r="D68" s="81">
        <f>D65+D61+D56+D53+D50+D47+D43+D32+D26+D23+D16+D13+D7+D35+D29</f>
        <v>759.57899999999995</v>
      </c>
      <c r="E68" s="81">
        <f>E65+E61+E56+E53+E50+E47+E43+E32+E26+E23+E16+E13+E7+E35+E29</f>
        <v>745.67099999999994</v>
      </c>
      <c r="F68" s="81">
        <f>F65+F61+F56+F53+F50+F47+F43+F32+F26+F23+F16+F13+F7+F35+F29</f>
        <v>598.82140000000004</v>
      </c>
      <c r="G68" s="81">
        <v>664.70999999999992</v>
      </c>
      <c r="H68" s="81">
        <f>H65+H61+H56+H53+H50+H47+H43+H32+H26+H23+H16+H13+H7+H35+H29</f>
        <v>1365.8240000000001</v>
      </c>
      <c r="I68" s="81">
        <f>I65+I61+I56+I53+I50+I47+I43+I32+I26+I23+I16+I13+I7+I35+I29</f>
        <v>1413.8910000000001</v>
      </c>
      <c r="J68" s="81">
        <f>J65+J61+J56+J53+J50+J47+J43+J32+J26+J23+J16+J13+J7+J35+J29</f>
        <v>1657.2100690000004</v>
      </c>
      <c r="K68" s="81">
        <f>K65+K61+K56+K53+K50+K47+K43+K32+K26+K23+K16+K13+K7+K35+K29</f>
        <v>1340.2052980000001</v>
      </c>
      <c r="L68" s="81">
        <f>L65+L61+L56+L53+L50+L47+L43+L32+L26+L23+L16+L13+L7+L35+L29</f>
        <v>1563.0704520000002</v>
      </c>
      <c r="M68" s="77">
        <f t="shared" si="14"/>
        <v>1800.6291148886128</v>
      </c>
      <c r="N68" s="77">
        <f t="shared" si="15"/>
        <v>1861.4140201348382</v>
      </c>
      <c r="O68" s="77">
        <f t="shared" si="16"/>
        <v>2222.4413568450436</v>
      </c>
      <c r="P68" s="77">
        <f t="shared" si="17"/>
        <v>2238.0718157367123</v>
      </c>
      <c r="Q68" s="77">
        <f t="shared" si="17"/>
        <v>2351.5073520783503</v>
      </c>
      <c r="R68" s="136"/>
      <c r="S68" s="136"/>
      <c r="T68" s="135"/>
    </row>
    <row r="69" spans="1:20" s="6" customFormat="1" ht="24.75" customHeight="1" x14ac:dyDescent="0.2">
      <c r="A69" s="225"/>
      <c r="B69" s="165" t="s">
        <v>72</v>
      </c>
      <c r="C69" s="81">
        <f t="shared" ref="C69:I69" si="25">C68+C67</f>
        <v>4596.2960000000003</v>
      </c>
      <c r="D69" s="81">
        <f t="shared" si="25"/>
        <v>5338.0409999999993</v>
      </c>
      <c r="E69" s="81">
        <f>E68+E67</f>
        <v>4887.7020000000002</v>
      </c>
      <c r="F69" s="81">
        <f>F68+F67</f>
        <v>4730.762999999999</v>
      </c>
      <c r="G69" s="81">
        <v>4825.1979999999994</v>
      </c>
      <c r="H69" s="81">
        <f t="shared" si="25"/>
        <v>6733.3286000000007</v>
      </c>
      <c r="I69" s="81">
        <f t="shared" si="25"/>
        <v>7461.5280000000002</v>
      </c>
      <c r="J69" s="81">
        <f>J68+J67</f>
        <v>9252.5652449999998</v>
      </c>
      <c r="K69" s="81">
        <f>K68+K67</f>
        <v>6727.1776445999985</v>
      </c>
      <c r="L69" s="81">
        <f>L68+L67</f>
        <v>9952.0181830000001</v>
      </c>
      <c r="M69" s="77">
        <f t="shared" si="14"/>
        <v>1464.946687506636</v>
      </c>
      <c r="N69" s="77">
        <f t="shared" si="15"/>
        <v>1397.8026770495021</v>
      </c>
      <c r="O69" s="77">
        <f t="shared" si="16"/>
        <v>1893.0297397427255</v>
      </c>
      <c r="P69" s="77">
        <f t="shared" si="17"/>
        <v>1422.0069034529947</v>
      </c>
      <c r="Q69" s="77">
        <f t="shared" si="17"/>
        <v>2062.5098043645053</v>
      </c>
      <c r="R69" s="136"/>
      <c r="S69" s="136"/>
      <c r="T69" s="135"/>
    </row>
    <row r="70" spans="1:20" s="6" customFormat="1" ht="18" customHeight="1" x14ac:dyDescent="0.2">
      <c r="B70" s="2"/>
      <c r="C70" s="40"/>
      <c r="D70" s="40"/>
      <c r="E70" s="9"/>
      <c r="F70" s="9"/>
      <c r="G70" s="9"/>
      <c r="H70" s="9"/>
      <c r="I70" s="9"/>
      <c r="J70" s="9"/>
      <c r="K70" s="9"/>
      <c r="L70" s="9"/>
      <c r="M70" s="9"/>
      <c r="N70" s="9"/>
      <c r="P70" s="9" t="s">
        <v>86</v>
      </c>
      <c r="Q70" s="9"/>
      <c r="R70" s="9"/>
      <c r="S70" s="9"/>
      <c r="T70" s="9"/>
    </row>
    <row r="71" spans="1:20" s="6" customFormat="1" x14ac:dyDescent="0.2">
      <c r="A71" s="38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O71" s="5"/>
      <c r="P71" s="5"/>
      <c r="Q71" s="5"/>
      <c r="R71" s="5"/>
      <c r="S71" s="5"/>
      <c r="T71" s="5"/>
    </row>
    <row r="72" spans="1:20" x14ac:dyDescent="0.2"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20" x14ac:dyDescent="0.2"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20" x14ac:dyDescent="0.2"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20" x14ac:dyDescent="0.2"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20" x14ac:dyDescent="0.2">
      <c r="C76" s="50"/>
      <c r="D76" s="50"/>
      <c r="E76" s="50"/>
      <c r="F76" s="50"/>
      <c r="G76" s="50"/>
      <c r="H76" s="50"/>
      <c r="I76" s="50"/>
      <c r="J76" s="50"/>
      <c r="K76" s="50"/>
      <c r="L76" s="50"/>
    </row>
  </sheetData>
  <mergeCells count="28">
    <mergeCell ref="A3:N3"/>
    <mergeCell ref="A4:A5"/>
    <mergeCell ref="M4:Q4"/>
    <mergeCell ref="H4:L4"/>
    <mergeCell ref="A67:A69"/>
    <mergeCell ref="A46:A48"/>
    <mergeCell ref="A31:A33"/>
    <mergeCell ref="A42:A44"/>
    <mergeCell ref="A64:A66"/>
    <mergeCell ref="A52:A54"/>
    <mergeCell ref="A55:A57"/>
    <mergeCell ref="A60:A62"/>
    <mergeCell ref="A39:N39"/>
    <mergeCell ref="A34:A36"/>
    <mergeCell ref="A40:A41"/>
    <mergeCell ref="B40:B41"/>
    <mergeCell ref="M40:Q40"/>
    <mergeCell ref="C40:G40"/>
    <mergeCell ref="H40:L40"/>
    <mergeCell ref="B4:B5"/>
    <mergeCell ref="A22:A24"/>
    <mergeCell ref="A49:A51"/>
    <mergeCell ref="C4:G4"/>
    <mergeCell ref="A6:A8"/>
    <mergeCell ref="A15:A17"/>
    <mergeCell ref="A12:A14"/>
    <mergeCell ref="A28:A30"/>
    <mergeCell ref="A25:A27"/>
  </mergeCells>
  <phoneticPr fontId="0" type="noConversion"/>
  <printOptions horizontalCentered="1" verticalCentered="1"/>
  <pageMargins left="0" right="0" top="0.118110236220472" bottom="0.23622047244094499" header="0.118110236220472" footer="0.511811023622047"/>
  <pageSetup paperSize="9" scale="60" orientation="landscape" r:id="rId1"/>
  <headerFooter alignWithMargins="0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5"/>
  <sheetViews>
    <sheetView view="pageBreakPreview" zoomScale="60" zoomScaleNormal="60" workbookViewId="0">
      <selection activeCell="B28" sqref="B28:K29"/>
    </sheetView>
  </sheetViews>
  <sheetFormatPr defaultRowHeight="15" x14ac:dyDescent="0.2"/>
  <cols>
    <col min="1" max="1" width="27.5703125" style="2" customWidth="1"/>
    <col min="2" max="11" width="12.85546875" style="2" customWidth="1"/>
    <col min="12" max="15" width="12.85546875" style="41" customWidth="1"/>
    <col min="16" max="16" width="12.85546875" style="178" customWidth="1"/>
    <col min="17" max="19" width="12.85546875" style="137" customWidth="1"/>
    <col min="20" max="16384" width="9.140625" style="1"/>
  </cols>
  <sheetData>
    <row r="1" spans="1:20" ht="36.75" customHeight="1" x14ac:dyDescent="0.2">
      <c r="A1" s="7"/>
    </row>
    <row r="2" spans="1:20" ht="15" customHeight="1" x14ac:dyDescent="0.2">
      <c r="T2" s="204"/>
    </row>
    <row r="3" spans="1:20" ht="21.75" customHeight="1" x14ac:dyDescent="0.2">
      <c r="A3" s="229" t="s">
        <v>115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2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20" ht="30" customHeight="1" x14ac:dyDescent="0.2">
      <c r="A5" s="209" t="s">
        <v>140</v>
      </c>
      <c r="B5" s="213" t="s">
        <v>114</v>
      </c>
      <c r="C5" s="213"/>
      <c r="D5" s="213"/>
      <c r="E5" s="213"/>
      <c r="F5" s="213"/>
      <c r="G5" s="213" t="s">
        <v>81</v>
      </c>
      <c r="H5" s="213"/>
      <c r="I5" s="213"/>
      <c r="J5" s="213"/>
      <c r="K5" s="213"/>
      <c r="L5" s="213" t="s">
        <v>78</v>
      </c>
      <c r="M5" s="213"/>
      <c r="N5" s="213"/>
      <c r="O5" s="213"/>
      <c r="P5" s="213"/>
      <c r="Q5" s="108"/>
      <c r="R5" s="108"/>
      <c r="S5" s="108"/>
    </row>
    <row r="6" spans="1:20" ht="39" customHeight="1" x14ac:dyDescent="0.2">
      <c r="A6" s="209"/>
      <c r="B6" s="99" t="s">
        <v>107</v>
      </c>
      <c r="C6" s="99" t="s">
        <v>108</v>
      </c>
      <c r="D6" s="183" t="s">
        <v>111</v>
      </c>
      <c r="E6" s="183" t="s">
        <v>138</v>
      </c>
      <c r="F6" s="183" t="s">
        <v>141</v>
      </c>
      <c r="G6" s="99" t="s">
        <v>107</v>
      </c>
      <c r="H6" s="99" t="s">
        <v>108</v>
      </c>
      <c r="I6" s="183" t="s">
        <v>111</v>
      </c>
      <c r="J6" s="183" t="s">
        <v>138</v>
      </c>
      <c r="K6" s="183" t="s">
        <v>141</v>
      </c>
      <c r="L6" s="99" t="s">
        <v>107</v>
      </c>
      <c r="M6" s="99" t="s">
        <v>108</v>
      </c>
      <c r="N6" s="183" t="s">
        <v>111</v>
      </c>
      <c r="O6" s="183" t="s">
        <v>138</v>
      </c>
      <c r="P6" s="183" t="s">
        <v>141</v>
      </c>
      <c r="Q6" s="108"/>
      <c r="R6" s="108"/>
      <c r="S6" s="108"/>
    </row>
    <row r="7" spans="1:20" ht="33.75" customHeight="1" x14ac:dyDescent="0.2">
      <c r="A7" s="184" t="s">
        <v>1</v>
      </c>
      <c r="B7" s="78">
        <f>49+2</f>
        <v>51</v>
      </c>
      <c r="C7" s="78">
        <v>33</v>
      </c>
      <c r="D7" s="63">
        <v>32</v>
      </c>
      <c r="E7" s="63">
        <v>37</v>
      </c>
      <c r="F7" s="192">
        <v>38</v>
      </c>
      <c r="G7" s="78">
        <v>29</v>
      </c>
      <c r="H7" s="78">
        <v>16</v>
      </c>
      <c r="I7" s="63">
        <v>20.96</v>
      </c>
      <c r="J7" s="63">
        <v>15.355</v>
      </c>
      <c r="K7" s="63">
        <v>25.992000000000001</v>
      </c>
      <c r="L7" s="83">
        <f t="shared" ref="L7:L26" si="0">G7/B7*1000</f>
        <v>568.62745098039215</v>
      </c>
      <c r="M7" s="83">
        <f t="shared" ref="M7:M26" si="1">H7/C7*1000</f>
        <v>484.84848484848487</v>
      </c>
      <c r="N7" s="83">
        <f t="shared" ref="N7:N26" si="2">I7/D7*1000</f>
        <v>655</v>
      </c>
      <c r="O7" s="83">
        <f t="shared" ref="O7:P26" si="3">J7/E7*1000</f>
        <v>415.00000000000006</v>
      </c>
      <c r="P7" s="83">
        <f t="shared" si="3"/>
        <v>684</v>
      </c>
      <c r="Q7" s="138"/>
      <c r="R7" s="139"/>
      <c r="S7" s="139"/>
    </row>
    <row r="8" spans="1:20" ht="33.75" customHeight="1" x14ac:dyDescent="0.2">
      <c r="A8" s="184" t="s">
        <v>32</v>
      </c>
      <c r="B8" s="78">
        <v>0.35</v>
      </c>
      <c r="C8" s="78">
        <v>0.17399999999999999</v>
      </c>
      <c r="D8" s="63">
        <v>0.18099999999999999</v>
      </c>
      <c r="E8" s="63">
        <v>0.71499999999999997</v>
      </c>
      <c r="F8" s="192">
        <v>0.18099999999999999</v>
      </c>
      <c r="G8" s="78">
        <v>0.2</v>
      </c>
      <c r="H8" s="78">
        <v>9.4E-2</v>
      </c>
      <c r="I8" s="63">
        <v>0.10317</v>
      </c>
      <c r="J8" s="63">
        <v>0.64922000000000002</v>
      </c>
      <c r="K8" s="63">
        <v>0.104075</v>
      </c>
      <c r="L8" s="83">
        <f t="shared" si="0"/>
        <v>571.42857142857156</v>
      </c>
      <c r="M8" s="83">
        <f t="shared" si="1"/>
        <v>540.22988505747128</v>
      </c>
      <c r="N8" s="83">
        <f t="shared" si="2"/>
        <v>570</v>
      </c>
      <c r="O8" s="83">
        <f t="shared" si="3"/>
        <v>908</v>
      </c>
      <c r="P8" s="83">
        <f t="shared" si="3"/>
        <v>575.00000000000011</v>
      </c>
      <c r="Q8" s="138"/>
      <c r="R8" s="139"/>
      <c r="S8" s="139"/>
    </row>
    <row r="9" spans="1:20" ht="33.75" customHeight="1" x14ac:dyDescent="0.2">
      <c r="A9" s="184" t="s">
        <v>25</v>
      </c>
      <c r="B9" s="78">
        <v>0.88100000000000001</v>
      </c>
      <c r="C9" s="78">
        <v>0.74399999999999999</v>
      </c>
      <c r="D9" s="63">
        <v>0.75800000000000001</v>
      </c>
      <c r="E9" s="63">
        <v>0.72399999999999998</v>
      </c>
      <c r="F9" s="193">
        <v>0.748</v>
      </c>
      <c r="G9" s="78">
        <v>0.40699999999999997</v>
      </c>
      <c r="H9" s="78">
        <v>0.34599999999999997</v>
      </c>
      <c r="I9" s="63">
        <v>0.35398599999999997</v>
      </c>
      <c r="J9" s="63">
        <v>0.32941999999999999</v>
      </c>
      <c r="K9" s="63">
        <v>0.33809600000000001</v>
      </c>
      <c r="L9" s="83">
        <f t="shared" si="0"/>
        <v>461.97502837684448</v>
      </c>
      <c r="M9" s="83">
        <f t="shared" si="1"/>
        <v>465.05376344086017</v>
      </c>
      <c r="N9" s="83">
        <f t="shared" si="2"/>
        <v>466.99999999999994</v>
      </c>
      <c r="O9" s="83">
        <f t="shared" si="3"/>
        <v>455</v>
      </c>
      <c r="P9" s="83">
        <f t="shared" si="3"/>
        <v>452</v>
      </c>
      <c r="Q9" s="138"/>
      <c r="R9" s="139"/>
      <c r="S9" s="139"/>
    </row>
    <row r="10" spans="1:20" ht="33.75" customHeight="1" x14ac:dyDescent="0.2">
      <c r="A10" s="184" t="s">
        <v>70</v>
      </c>
      <c r="B10" s="78">
        <v>4.2999999999999997E-2</v>
      </c>
      <c r="C10" s="78">
        <v>7.6999999999999999E-2</v>
      </c>
      <c r="D10" s="63">
        <v>1.9E-2</v>
      </c>
      <c r="E10" s="63">
        <v>8.5000000000000006E-2</v>
      </c>
      <c r="F10" s="192">
        <v>8.6999999999999994E-2</v>
      </c>
      <c r="G10" s="78">
        <v>4.1000000000000002E-2</v>
      </c>
      <c r="H10" s="78">
        <v>7.3999999999999996E-2</v>
      </c>
      <c r="I10" s="63">
        <v>1.9E-2</v>
      </c>
      <c r="J10" s="63">
        <v>8.2025000000000001E-2</v>
      </c>
      <c r="K10" s="63">
        <v>8.4041999999999992E-2</v>
      </c>
      <c r="L10" s="83">
        <f t="shared" si="0"/>
        <v>953.48837209302337</v>
      </c>
      <c r="M10" s="83">
        <f t="shared" si="1"/>
        <v>961.03896103896102</v>
      </c>
      <c r="N10" s="83">
        <f t="shared" si="2"/>
        <v>1000</v>
      </c>
      <c r="O10" s="83">
        <f t="shared" si="3"/>
        <v>965</v>
      </c>
      <c r="P10" s="83">
        <f t="shared" si="3"/>
        <v>966</v>
      </c>
      <c r="Q10" s="138"/>
      <c r="R10" s="139"/>
      <c r="S10" s="139"/>
    </row>
    <row r="11" spans="1:20" ht="33.75" hidden="1" customHeight="1" x14ac:dyDescent="0.2">
      <c r="A11" s="184" t="s">
        <v>6</v>
      </c>
      <c r="B11" s="78">
        <v>0</v>
      </c>
      <c r="C11" s="78">
        <v>0</v>
      </c>
      <c r="D11" s="63">
        <v>0</v>
      </c>
      <c r="E11" s="63"/>
      <c r="F11" s="194"/>
      <c r="G11" s="78">
        <v>0</v>
      </c>
      <c r="H11" s="78">
        <v>0</v>
      </c>
      <c r="I11" s="63">
        <v>0</v>
      </c>
      <c r="J11" s="63">
        <v>0</v>
      </c>
      <c r="K11" s="63">
        <v>0</v>
      </c>
      <c r="L11" s="83" t="e">
        <f t="shared" si="0"/>
        <v>#DIV/0!</v>
      </c>
      <c r="M11" s="83" t="e">
        <f t="shared" si="1"/>
        <v>#DIV/0!</v>
      </c>
      <c r="N11" s="83" t="e">
        <f t="shared" si="2"/>
        <v>#DIV/0!</v>
      </c>
      <c r="O11" s="83" t="e">
        <f t="shared" si="3"/>
        <v>#DIV/0!</v>
      </c>
      <c r="P11" s="83" t="e">
        <f t="shared" si="3"/>
        <v>#DIV/0!</v>
      </c>
      <c r="Q11" s="138"/>
      <c r="R11" s="139"/>
      <c r="S11" s="139"/>
    </row>
    <row r="12" spans="1:20" ht="33.75" customHeight="1" x14ac:dyDescent="0.2">
      <c r="A12" s="184" t="s">
        <v>8</v>
      </c>
      <c r="B12" s="78">
        <v>714</v>
      </c>
      <c r="C12" s="78">
        <v>541</v>
      </c>
      <c r="D12" s="63">
        <v>585</v>
      </c>
      <c r="E12" s="63">
        <v>521.88</v>
      </c>
      <c r="F12" s="192">
        <v>736.59</v>
      </c>
      <c r="G12" s="78">
        <v>1413</v>
      </c>
      <c r="H12" s="78">
        <v>1121</v>
      </c>
      <c r="I12" s="63">
        <v>1333.3320000000003</v>
      </c>
      <c r="J12" s="63">
        <v>944.08091999999999</v>
      </c>
      <c r="K12" s="63">
        <v>1431.9309599999999</v>
      </c>
      <c r="L12" s="83">
        <f t="shared" si="0"/>
        <v>1978.9915966386554</v>
      </c>
      <c r="M12" s="83">
        <f t="shared" si="1"/>
        <v>2072.0887245841031</v>
      </c>
      <c r="N12" s="83">
        <f t="shared" si="2"/>
        <v>2279.2000000000007</v>
      </c>
      <c r="O12" s="83">
        <f t="shared" si="3"/>
        <v>1809</v>
      </c>
      <c r="P12" s="83">
        <f t="shared" si="3"/>
        <v>1943.9999999999998</v>
      </c>
      <c r="Q12" s="138"/>
      <c r="R12" s="139"/>
      <c r="S12" s="139"/>
    </row>
    <row r="13" spans="1:20" ht="33.75" customHeight="1" x14ac:dyDescent="0.2">
      <c r="A13" s="184" t="s">
        <v>34</v>
      </c>
      <c r="B13" s="78">
        <v>0.2</v>
      </c>
      <c r="C13" s="78">
        <v>1.3</v>
      </c>
      <c r="D13" s="63">
        <v>0.9</v>
      </c>
      <c r="E13" s="63">
        <v>1.5</v>
      </c>
      <c r="F13" s="192">
        <v>4.2</v>
      </c>
      <c r="G13" s="78">
        <v>0.26</v>
      </c>
      <c r="H13" s="78">
        <v>1.69</v>
      </c>
      <c r="I13" s="63">
        <v>0.88200000000000001</v>
      </c>
      <c r="J13" s="63">
        <v>1.167</v>
      </c>
      <c r="K13" s="63">
        <v>4.3176000000000005</v>
      </c>
      <c r="L13" s="83">
        <f t="shared" si="0"/>
        <v>1300</v>
      </c>
      <c r="M13" s="83">
        <f t="shared" si="1"/>
        <v>1299.9999999999998</v>
      </c>
      <c r="N13" s="83">
        <f t="shared" si="2"/>
        <v>980</v>
      </c>
      <c r="O13" s="83">
        <f t="shared" si="3"/>
        <v>778</v>
      </c>
      <c r="P13" s="83">
        <f t="shared" si="3"/>
        <v>1028</v>
      </c>
      <c r="Q13" s="138"/>
      <c r="R13" s="139"/>
      <c r="S13" s="139"/>
    </row>
    <row r="14" spans="1:20" ht="33.75" customHeight="1" x14ac:dyDescent="0.2">
      <c r="A14" s="184" t="s">
        <v>50</v>
      </c>
      <c r="B14" s="78">
        <v>3.2160000000000002</v>
      </c>
      <c r="C14" s="78">
        <v>0.161</v>
      </c>
      <c r="D14" s="63">
        <v>0.153</v>
      </c>
      <c r="E14" s="63">
        <v>4.1000000000000002E-2</v>
      </c>
      <c r="F14" s="192">
        <v>5.8000000000000003E-2</v>
      </c>
      <c r="G14" s="78">
        <v>1.298</v>
      </c>
      <c r="H14" s="78">
        <v>6.8000000000000005E-2</v>
      </c>
      <c r="I14" s="63">
        <v>5.7527999999999996E-2</v>
      </c>
      <c r="J14" s="63">
        <v>2.5912000000000001E-2</v>
      </c>
      <c r="K14" s="63">
        <v>3.4452000000000003E-2</v>
      </c>
      <c r="L14" s="83">
        <f t="shared" si="0"/>
        <v>403.60696517412936</v>
      </c>
      <c r="M14" s="83">
        <f t="shared" si="1"/>
        <v>422.36024844720498</v>
      </c>
      <c r="N14" s="83">
        <f t="shared" si="2"/>
        <v>376</v>
      </c>
      <c r="O14" s="83">
        <f t="shared" si="3"/>
        <v>632</v>
      </c>
      <c r="P14" s="83">
        <f t="shared" si="3"/>
        <v>594.00000000000011</v>
      </c>
      <c r="Q14" s="140"/>
      <c r="R14" s="139"/>
      <c r="S14" s="139"/>
    </row>
    <row r="15" spans="1:20" ht="33.75" customHeight="1" x14ac:dyDescent="0.2">
      <c r="A15" s="184" t="s">
        <v>11</v>
      </c>
      <c r="B15" s="78">
        <v>9</v>
      </c>
      <c r="C15" s="78">
        <v>9</v>
      </c>
      <c r="D15" s="63">
        <v>7</v>
      </c>
      <c r="E15" s="63">
        <v>2.8499999999999996</v>
      </c>
      <c r="F15" s="192">
        <v>4</v>
      </c>
      <c r="G15" s="78">
        <v>5</v>
      </c>
      <c r="H15" s="78">
        <v>5</v>
      </c>
      <c r="I15" s="63">
        <v>4.7389999999999999</v>
      </c>
      <c r="J15" s="63">
        <v>1.7242499999999998</v>
      </c>
      <c r="K15" s="63">
        <v>3.88</v>
      </c>
      <c r="L15" s="83">
        <f t="shared" si="0"/>
        <v>555.55555555555554</v>
      </c>
      <c r="M15" s="83">
        <f t="shared" si="1"/>
        <v>555.55555555555554</v>
      </c>
      <c r="N15" s="83">
        <f t="shared" si="2"/>
        <v>676.99999999999989</v>
      </c>
      <c r="O15" s="83">
        <f t="shared" si="3"/>
        <v>605</v>
      </c>
      <c r="P15" s="83">
        <f t="shared" si="3"/>
        <v>970</v>
      </c>
      <c r="Q15" s="138"/>
      <c r="R15" s="139"/>
      <c r="S15" s="139"/>
    </row>
    <row r="16" spans="1:20" ht="33.75" customHeight="1" x14ac:dyDescent="0.2">
      <c r="A16" s="184" t="s">
        <v>13</v>
      </c>
      <c r="B16" s="78">
        <v>5</v>
      </c>
      <c r="C16" s="78">
        <v>14</v>
      </c>
      <c r="D16" s="63">
        <v>9</v>
      </c>
      <c r="E16" s="63">
        <v>1</v>
      </c>
      <c r="F16" s="193">
        <v>7</v>
      </c>
      <c r="G16" s="78">
        <v>2</v>
      </c>
      <c r="H16" s="78">
        <v>6</v>
      </c>
      <c r="I16" s="63">
        <v>5</v>
      </c>
      <c r="J16" s="63">
        <v>0.373</v>
      </c>
      <c r="K16" s="63">
        <v>2.73</v>
      </c>
      <c r="L16" s="83">
        <f t="shared" si="0"/>
        <v>400</v>
      </c>
      <c r="M16" s="83">
        <f t="shared" si="1"/>
        <v>428.57142857142856</v>
      </c>
      <c r="N16" s="83">
        <f t="shared" si="2"/>
        <v>555.55555555555554</v>
      </c>
      <c r="O16" s="83">
        <f t="shared" si="3"/>
        <v>373</v>
      </c>
      <c r="P16" s="83">
        <f t="shared" si="3"/>
        <v>390</v>
      </c>
      <c r="Q16" s="138"/>
      <c r="R16" s="139"/>
      <c r="S16" s="139"/>
    </row>
    <row r="17" spans="1:19" ht="33.75" customHeight="1" x14ac:dyDescent="0.2">
      <c r="A17" s="187" t="s">
        <v>14</v>
      </c>
      <c r="B17" s="78">
        <v>21</v>
      </c>
      <c r="C17" s="78">
        <v>6.9</v>
      </c>
      <c r="D17" s="63">
        <v>6</v>
      </c>
      <c r="E17" s="63">
        <v>12.5</v>
      </c>
      <c r="F17" s="192">
        <v>10.63</v>
      </c>
      <c r="G17" s="78">
        <v>5</v>
      </c>
      <c r="H17" s="78">
        <v>2.1</v>
      </c>
      <c r="I17" s="63">
        <v>1.4159999999999999</v>
      </c>
      <c r="J17" s="63">
        <v>3.6375000000000002</v>
      </c>
      <c r="K17" s="63">
        <v>3.2421500000000001</v>
      </c>
      <c r="L17" s="83">
        <f t="shared" si="0"/>
        <v>238.09523809523807</v>
      </c>
      <c r="M17" s="83">
        <f t="shared" si="1"/>
        <v>304.34782608695656</v>
      </c>
      <c r="N17" s="83">
        <f t="shared" si="2"/>
        <v>236</v>
      </c>
      <c r="O17" s="83">
        <f t="shared" si="3"/>
        <v>291.00000000000006</v>
      </c>
      <c r="P17" s="83">
        <f t="shared" si="3"/>
        <v>305</v>
      </c>
      <c r="Q17" s="138"/>
      <c r="R17" s="139"/>
      <c r="S17" s="139"/>
    </row>
    <row r="18" spans="1:19" ht="33.75" customHeight="1" x14ac:dyDescent="0.2">
      <c r="A18" s="187" t="s">
        <v>37</v>
      </c>
      <c r="B18" s="78">
        <v>7.1999999999999995E-2</v>
      </c>
      <c r="C18" s="78">
        <v>7.0000000000000007E-2</v>
      </c>
      <c r="D18" s="63">
        <v>7.1999999999999995E-2</v>
      </c>
      <c r="E18" s="63">
        <v>7.1999999999999995E-2</v>
      </c>
      <c r="F18" s="192">
        <v>7.0000000000000007E-2</v>
      </c>
      <c r="G18" s="78">
        <v>6.5000000000000002E-2</v>
      </c>
      <c r="H18" s="78">
        <v>7.0000000000000001E-3</v>
      </c>
      <c r="I18" s="63">
        <v>6.501599999999999E-2</v>
      </c>
      <c r="J18" s="63">
        <v>6.501599999999999E-2</v>
      </c>
      <c r="K18" s="78">
        <v>6.3210000000000002E-2</v>
      </c>
      <c r="L18" s="83">
        <f t="shared" si="0"/>
        <v>902.77777777777794</v>
      </c>
      <c r="M18" s="83">
        <f t="shared" si="1"/>
        <v>99.999999999999986</v>
      </c>
      <c r="N18" s="83">
        <f t="shared" si="2"/>
        <v>902.99999999999989</v>
      </c>
      <c r="O18" s="83">
        <f t="shared" si="3"/>
        <v>902.99999999999989</v>
      </c>
      <c r="P18" s="83">
        <f t="shared" si="3"/>
        <v>902.99999999999989</v>
      </c>
      <c r="Q18" s="138"/>
      <c r="R18" s="139"/>
      <c r="S18" s="139"/>
    </row>
    <row r="19" spans="1:19" ht="33.75" customHeight="1" x14ac:dyDescent="0.2">
      <c r="A19" s="187" t="s">
        <v>15</v>
      </c>
      <c r="B19" s="78">
        <v>0.33</v>
      </c>
      <c r="C19" s="78">
        <v>0.34</v>
      </c>
      <c r="D19" s="63">
        <v>0.35</v>
      </c>
      <c r="E19" s="63">
        <v>0.36</v>
      </c>
      <c r="F19" s="192">
        <v>0.36</v>
      </c>
      <c r="G19" s="78">
        <v>0.22</v>
      </c>
      <c r="H19" s="78">
        <v>0.23</v>
      </c>
      <c r="I19" s="63">
        <v>0.24010000000000001</v>
      </c>
      <c r="J19" s="63">
        <v>0.24012</v>
      </c>
      <c r="K19" s="63">
        <v>0.24012</v>
      </c>
      <c r="L19" s="83">
        <f t="shared" si="0"/>
        <v>666.66666666666663</v>
      </c>
      <c r="M19" s="83">
        <f t="shared" si="1"/>
        <v>676.47058823529403</v>
      </c>
      <c r="N19" s="83">
        <f t="shared" si="2"/>
        <v>686</v>
      </c>
      <c r="O19" s="83">
        <f t="shared" si="3"/>
        <v>667</v>
      </c>
      <c r="P19" s="83">
        <f t="shared" si="3"/>
        <v>667</v>
      </c>
      <c r="Q19" s="138"/>
      <c r="R19" s="139"/>
      <c r="S19" s="139"/>
    </row>
    <row r="20" spans="1:19" ht="33.75" customHeight="1" x14ac:dyDescent="0.2">
      <c r="A20" s="184" t="s">
        <v>104</v>
      </c>
      <c r="B20" s="78">
        <f>7.23+3.22</f>
        <v>10.450000000000001</v>
      </c>
      <c r="C20" s="78">
        <v>8.91</v>
      </c>
      <c r="D20" s="63">
        <v>7.77</v>
      </c>
      <c r="E20" s="63">
        <v>7.24</v>
      </c>
      <c r="F20" s="192">
        <v>6.79</v>
      </c>
      <c r="G20" s="78">
        <f>4.47+2.13</f>
        <v>6.6</v>
      </c>
      <c r="H20" s="78">
        <v>5.6199999999999992</v>
      </c>
      <c r="I20" s="63">
        <v>4.910639999999999</v>
      </c>
      <c r="J20" s="63">
        <v>4.59016</v>
      </c>
      <c r="K20" s="78">
        <v>4.2437500000000004</v>
      </c>
      <c r="L20" s="83">
        <f t="shared" si="0"/>
        <v>631.57894736842093</v>
      </c>
      <c r="M20" s="83">
        <f t="shared" si="1"/>
        <v>630.75196408529735</v>
      </c>
      <c r="N20" s="83">
        <f t="shared" si="2"/>
        <v>631.99999999999989</v>
      </c>
      <c r="O20" s="83">
        <f t="shared" si="3"/>
        <v>634</v>
      </c>
      <c r="P20" s="83">
        <f t="shared" si="3"/>
        <v>625</v>
      </c>
      <c r="Q20" s="138"/>
      <c r="R20" s="141"/>
      <c r="S20" s="141"/>
    </row>
    <row r="21" spans="1:19" ht="33.75" customHeight="1" x14ac:dyDescent="0.2">
      <c r="A21" s="187" t="s">
        <v>27</v>
      </c>
      <c r="B21" s="78">
        <v>191.42699999999999</v>
      </c>
      <c r="C21" s="78">
        <v>142.46899999999999</v>
      </c>
      <c r="D21" s="63">
        <v>142.464</v>
      </c>
      <c r="E21" s="63">
        <v>140.571</v>
      </c>
      <c r="F21" s="192">
        <v>204.31800000000001</v>
      </c>
      <c r="G21" s="78">
        <v>269.85700000000003</v>
      </c>
      <c r="H21" s="78">
        <v>190.68299999999999</v>
      </c>
      <c r="I21" s="63">
        <v>167.82259200000001</v>
      </c>
      <c r="J21" s="63">
        <v>207.623367</v>
      </c>
      <c r="K21" s="63">
        <v>326.50016400000004</v>
      </c>
      <c r="L21" s="83">
        <f t="shared" si="0"/>
        <v>1409.7123185339583</v>
      </c>
      <c r="M21" s="83">
        <f t="shared" si="1"/>
        <v>1338.4174802939588</v>
      </c>
      <c r="N21" s="83">
        <f t="shared" si="2"/>
        <v>1178.0000000000002</v>
      </c>
      <c r="O21" s="83">
        <f t="shared" si="3"/>
        <v>1477</v>
      </c>
      <c r="P21" s="83">
        <f t="shared" si="3"/>
        <v>1598</v>
      </c>
      <c r="Q21" s="138"/>
    </row>
    <row r="22" spans="1:19" ht="33.75" customHeight="1" x14ac:dyDescent="0.2">
      <c r="A22" s="187" t="s">
        <v>19</v>
      </c>
      <c r="B22" s="78">
        <v>5.5</v>
      </c>
      <c r="C22" s="78">
        <v>4.71</v>
      </c>
      <c r="D22" s="63">
        <v>4.38</v>
      </c>
      <c r="E22" s="63">
        <v>4.76</v>
      </c>
      <c r="F22" s="192">
        <v>5.26</v>
      </c>
      <c r="G22" s="78">
        <v>1.71</v>
      </c>
      <c r="H22" s="78">
        <v>1.47</v>
      </c>
      <c r="I22" s="63">
        <v>1.36656</v>
      </c>
      <c r="J22" s="63">
        <v>1.48512</v>
      </c>
      <c r="K22" s="63">
        <v>1.6411199999999999</v>
      </c>
      <c r="L22" s="83">
        <f t="shared" si="0"/>
        <v>310.90909090909093</v>
      </c>
      <c r="M22" s="83">
        <f t="shared" si="1"/>
        <v>312.10191082802544</v>
      </c>
      <c r="N22" s="83">
        <f t="shared" si="2"/>
        <v>312</v>
      </c>
      <c r="O22" s="83">
        <f t="shared" si="3"/>
        <v>312</v>
      </c>
      <c r="P22" s="83">
        <f t="shared" si="3"/>
        <v>312</v>
      </c>
      <c r="Q22" s="138"/>
    </row>
    <row r="23" spans="1:19" ht="33.75" customHeight="1" x14ac:dyDescent="0.2">
      <c r="A23" s="199" t="s">
        <v>103</v>
      </c>
      <c r="B23" s="78">
        <v>48</v>
      </c>
      <c r="C23" s="78">
        <v>45</v>
      </c>
      <c r="D23" s="63">
        <v>28</v>
      </c>
      <c r="E23" s="63">
        <v>20</v>
      </c>
      <c r="F23" s="192">
        <v>28</v>
      </c>
      <c r="G23" s="78">
        <v>17</v>
      </c>
      <c r="H23" s="78">
        <v>26</v>
      </c>
      <c r="I23" s="63">
        <v>26.236000000000001</v>
      </c>
      <c r="J23" s="63">
        <v>15.24</v>
      </c>
      <c r="K23" s="63">
        <v>36.68</v>
      </c>
      <c r="L23" s="83">
        <f t="shared" ref="L23" si="4">G23/B23*1000</f>
        <v>354.16666666666669</v>
      </c>
      <c r="M23" s="83">
        <f t="shared" ref="M23" si="5">H23/C23*1000</f>
        <v>577.77777777777771</v>
      </c>
      <c r="N23" s="83">
        <f t="shared" ref="N23" si="6">I23/D23*1000</f>
        <v>937</v>
      </c>
      <c r="O23" s="83">
        <f t="shared" ref="O23" si="7">J23/E23*1000</f>
        <v>762</v>
      </c>
      <c r="P23" s="83">
        <f t="shared" ref="P23" si="8">K23/F23*1000</f>
        <v>1310</v>
      </c>
      <c r="Q23" s="138"/>
    </row>
    <row r="24" spans="1:19" s="56" customFormat="1" ht="33.75" customHeight="1" x14ac:dyDescent="0.25">
      <c r="A24" s="187" t="s">
        <v>84</v>
      </c>
      <c r="B24" s="78">
        <v>0.18</v>
      </c>
      <c r="C24" s="78">
        <v>0</v>
      </c>
      <c r="D24" s="106"/>
      <c r="E24" s="106"/>
      <c r="F24" s="194"/>
      <c r="G24" s="78">
        <v>0.1</v>
      </c>
      <c r="H24" s="78">
        <v>0</v>
      </c>
      <c r="I24" s="106"/>
      <c r="J24" s="78">
        <v>0</v>
      </c>
      <c r="K24" s="63">
        <v>0</v>
      </c>
      <c r="L24" s="83">
        <f t="shared" si="0"/>
        <v>555.55555555555554</v>
      </c>
      <c r="M24" s="83" t="e">
        <f t="shared" si="1"/>
        <v>#DIV/0!</v>
      </c>
      <c r="N24" s="83" t="e">
        <f t="shared" si="2"/>
        <v>#DIV/0!</v>
      </c>
      <c r="O24" s="83" t="e">
        <f t="shared" si="3"/>
        <v>#DIV/0!</v>
      </c>
      <c r="P24" s="83" t="e">
        <f t="shared" si="3"/>
        <v>#DIV/0!</v>
      </c>
      <c r="Q24" s="138"/>
      <c r="R24" s="137"/>
      <c r="S24" s="137"/>
    </row>
    <row r="25" spans="1:19" ht="33.75" customHeight="1" x14ac:dyDescent="0.2">
      <c r="A25" s="187" t="s">
        <v>23</v>
      </c>
      <c r="B25" s="78">
        <v>0.08</v>
      </c>
      <c r="C25" s="78">
        <v>6.2E-2</v>
      </c>
      <c r="D25" s="63">
        <v>0.08</v>
      </c>
      <c r="E25" s="63">
        <v>1.9E-2</v>
      </c>
      <c r="F25" s="192"/>
      <c r="G25" s="78">
        <v>0.06</v>
      </c>
      <c r="H25" s="78">
        <v>3.9E-2</v>
      </c>
      <c r="I25" s="63">
        <v>0.06</v>
      </c>
      <c r="J25" s="63">
        <v>1.1209999999999999E-2</v>
      </c>
      <c r="K25" s="63">
        <v>0</v>
      </c>
      <c r="L25" s="83">
        <f t="shared" si="0"/>
        <v>750</v>
      </c>
      <c r="M25" s="83">
        <f t="shared" si="1"/>
        <v>629.0322580645161</v>
      </c>
      <c r="N25" s="83">
        <f t="shared" si="2"/>
        <v>750</v>
      </c>
      <c r="O25" s="83">
        <f t="shared" si="3"/>
        <v>590</v>
      </c>
      <c r="P25" s="83" t="e">
        <f t="shared" si="3"/>
        <v>#DIV/0!</v>
      </c>
      <c r="Q25" s="138"/>
    </row>
    <row r="26" spans="1:19" s="60" customFormat="1" ht="33.75" customHeight="1" x14ac:dyDescent="0.25">
      <c r="A26" s="184" t="s">
        <v>24</v>
      </c>
      <c r="B26" s="80">
        <f t="shared" ref="B26:K26" si="9">SUM(B7:B25)</f>
        <v>1060.729</v>
      </c>
      <c r="C26" s="80">
        <f t="shared" si="9"/>
        <v>807.91700000000003</v>
      </c>
      <c r="D26" s="80">
        <f t="shared" si="9"/>
        <v>824.12699999999995</v>
      </c>
      <c r="E26" s="80">
        <f t="shared" si="9"/>
        <v>751.31700000000012</v>
      </c>
      <c r="F26" s="80">
        <f t="shared" si="9"/>
        <v>1046.2919999999999</v>
      </c>
      <c r="G26" s="80">
        <f t="shared" si="9"/>
        <v>1751.8179999999998</v>
      </c>
      <c r="H26" s="80">
        <f t="shared" si="9"/>
        <v>1376.4209999999998</v>
      </c>
      <c r="I26" s="80">
        <f t="shared" si="9"/>
        <v>1567.5635920000004</v>
      </c>
      <c r="J26" s="80">
        <f t="shared" si="9"/>
        <v>1196.6792399999999</v>
      </c>
      <c r="K26" s="80">
        <f t="shared" si="9"/>
        <v>1842.0217390000005</v>
      </c>
      <c r="L26" s="84">
        <f t="shared" si="0"/>
        <v>1651.5226792140118</v>
      </c>
      <c r="M26" s="84">
        <f t="shared" si="1"/>
        <v>1703.6663419633448</v>
      </c>
      <c r="N26" s="84">
        <f t="shared" si="2"/>
        <v>1902.0898380953429</v>
      </c>
      <c r="O26" s="84">
        <f t="shared" si="3"/>
        <v>1592.7754063863852</v>
      </c>
      <c r="P26" s="84">
        <f t="shared" si="3"/>
        <v>1760.5235813711665</v>
      </c>
      <c r="Q26" s="138"/>
      <c r="R26" s="137"/>
      <c r="S26" s="137"/>
    </row>
    <row r="27" spans="1:19" x14ac:dyDescent="0.2">
      <c r="B27" s="8"/>
      <c r="C27" s="8"/>
      <c r="D27" s="8"/>
      <c r="E27" s="8"/>
      <c r="F27" s="8"/>
    </row>
    <row r="28" spans="1:19" x14ac:dyDescent="0.2">
      <c r="A28" s="3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9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Q29" s="138"/>
    </row>
    <row r="30" spans="1:19" x14ac:dyDescent="0.2">
      <c r="Q30" s="138"/>
    </row>
    <row r="31" spans="1:19" x14ac:dyDescent="0.2">
      <c r="L31" s="137"/>
      <c r="M31" s="137"/>
      <c r="N31" s="137"/>
      <c r="O31" s="137"/>
      <c r="P31" s="137"/>
      <c r="Q31" s="138"/>
    </row>
    <row r="32" spans="1:19" x14ac:dyDescent="0.2">
      <c r="L32" s="138"/>
      <c r="M32" s="138"/>
      <c r="N32" s="138"/>
      <c r="O32" s="138"/>
      <c r="P32" s="138"/>
      <c r="Q32" s="138"/>
    </row>
    <row r="33" spans="12:17" x14ac:dyDescent="0.2">
      <c r="L33" s="137"/>
      <c r="M33" s="137"/>
      <c r="N33" s="137"/>
      <c r="O33" s="137"/>
      <c r="P33" s="137"/>
      <c r="Q33" s="138"/>
    </row>
    <row r="34" spans="12:17" x14ac:dyDescent="0.2">
      <c r="L34" s="137"/>
      <c r="M34" s="137"/>
      <c r="N34" s="137"/>
      <c r="O34" s="137"/>
      <c r="P34" s="137"/>
      <c r="Q34" s="138"/>
    </row>
    <row r="35" spans="12:17" x14ac:dyDescent="0.2">
      <c r="L35" s="137"/>
      <c r="M35" s="137"/>
      <c r="N35" s="137"/>
      <c r="O35" s="137"/>
      <c r="P35" s="137"/>
      <c r="Q35" s="138"/>
    </row>
  </sheetData>
  <mergeCells count="5">
    <mergeCell ref="B5:F5"/>
    <mergeCell ref="A5:A6"/>
    <mergeCell ref="A3:M3"/>
    <mergeCell ref="L5:P5"/>
    <mergeCell ref="G5:K5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R48"/>
  <sheetViews>
    <sheetView view="pageBreakPreview" zoomScale="60" zoomScaleNormal="60" workbookViewId="0">
      <selection activeCell="B41" sqref="B41:K42"/>
    </sheetView>
  </sheetViews>
  <sheetFormatPr defaultRowHeight="15" x14ac:dyDescent="0.2"/>
  <cols>
    <col min="1" max="1" width="25.85546875" style="2" customWidth="1"/>
    <col min="2" max="5" width="12.85546875" style="40" customWidth="1"/>
    <col min="6" max="6" width="12.85546875" style="170" customWidth="1"/>
    <col min="7" max="11" width="12.85546875" style="2" customWidth="1"/>
    <col min="12" max="18" width="11.5703125" style="2" customWidth="1"/>
    <col min="19" max="16384" width="9.140625" style="2"/>
  </cols>
  <sheetData>
    <row r="3" spans="1:18" ht="18" x14ac:dyDescent="0.2">
      <c r="A3" s="229" t="s">
        <v>117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8" x14ac:dyDescent="0.2">
      <c r="A4" s="8"/>
      <c r="B4" s="20"/>
      <c r="C4" s="20"/>
      <c r="D4" s="20"/>
      <c r="E4" s="20"/>
      <c r="F4" s="175"/>
      <c r="G4" s="8"/>
      <c r="H4" s="8"/>
      <c r="I4" s="8"/>
      <c r="J4" s="8"/>
      <c r="K4" s="8"/>
    </row>
    <row r="5" spans="1:18" ht="29.25" customHeight="1" x14ac:dyDescent="0.2">
      <c r="A5" s="209" t="s">
        <v>140</v>
      </c>
      <c r="B5" s="213" t="s">
        <v>114</v>
      </c>
      <c r="C5" s="213"/>
      <c r="D5" s="213"/>
      <c r="E5" s="213"/>
      <c r="F5" s="213"/>
      <c r="G5" s="213" t="s">
        <v>81</v>
      </c>
      <c r="H5" s="213"/>
      <c r="I5" s="213"/>
      <c r="J5" s="213"/>
      <c r="K5" s="213"/>
      <c r="L5" s="213" t="s">
        <v>78</v>
      </c>
      <c r="M5" s="213"/>
      <c r="N5" s="213"/>
      <c r="O5" s="213"/>
      <c r="P5" s="213"/>
      <c r="Q5" s="108"/>
      <c r="R5" s="108"/>
    </row>
    <row r="6" spans="1:18" s="9" customFormat="1" ht="36.75" customHeight="1" x14ac:dyDescent="0.2">
      <c r="A6" s="209"/>
      <c r="B6" s="99" t="s">
        <v>107</v>
      </c>
      <c r="C6" s="99" t="s">
        <v>108</v>
      </c>
      <c r="D6" s="183" t="s">
        <v>111</v>
      </c>
      <c r="E6" s="183" t="s">
        <v>138</v>
      </c>
      <c r="F6" s="183" t="s">
        <v>141</v>
      </c>
      <c r="G6" s="99" t="s">
        <v>107</v>
      </c>
      <c r="H6" s="99" t="s">
        <v>108</v>
      </c>
      <c r="I6" s="183" t="s">
        <v>111</v>
      </c>
      <c r="J6" s="183" t="s">
        <v>138</v>
      </c>
      <c r="K6" s="183" t="s">
        <v>141</v>
      </c>
      <c r="L6" s="99" t="s">
        <v>107</v>
      </c>
      <c r="M6" s="99" t="s">
        <v>108</v>
      </c>
      <c r="N6" s="183" t="s">
        <v>111</v>
      </c>
      <c r="O6" s="183" t="s">
        <v>138</v>
      </c>
      <c r="P6" s="183" t="s">
        <v>141</v>
      </c>
      <c r="Q6" s="108"/>
      <c r="R6" s="108"/>
    </row>
    <row r="7" spans="1:18" ht="23.25" customHeight="1" x14ac:dyDescent="0.2">
      <c r="A7" s="184" t="s">
        <v>1</v>
      </c>
      <c r="B7" s="78">
        <f>28+25</f>
        <v>53</v>
      </c>
      <c r="C7" s="78">
        <v>64</v>
      </c>
      <c r="D7" s="78">
        <v>40</v>
      </c>
      <c r="E7" s="78">
        <v>48</v>
      </c>
      <c r="F7" s="63">
        <v>39</v>
      </c>
      <c r="G7" s="78">
        <f>5+9</f>
        <v>14</v>
      </c>
      <c r="H7" s="78">
        <v>17</v>
      </c>
      <c r="I7" s="63">
        <v>10.96</v>
      </c>
      <c r="J7" s="63">
        <v>12.912000000000001</v>
      </c>
      <c r="K7" s="63">
        <v>13.377000000000001</v>
      </c>
      <c r="L7" s="83">
        <f t="shared" ref="L7:L37" si="0">G7/B7*1000</f>
        <v>264.15094339622641</v>
      </c>
      <c r="M7" s="83">
        <f t="shared" ref="M7:M37" si="1">H7/C7*1000</f>
        <v>265.625</v>
      </c>
      <c r="N7" s="83">
        <f t="shared" ref="N7:N37" si="2">I7/D7*1000</f>
        <v>274</v>
      </c>
      <c r="O7" s="83">
        <f t="shared" ref="O7:P37" si="3">J7/E7*1000</f>
        <v>269</v>
      </c>
      <c r="P7" s="83">
        <f t="shared" si="3"/>
        <v>343</v>
      </c>
      <c r="Q7" s="139"/>
      <c r="R7" s="139"/>
    </row>
    <row r="8" spans="1:18" ht="23.25" customHeight="1" x14ac:dyDescent="0.2">
      <c r="A8" s="184" t="s">
        <v>32</v>
      </c>
      <c r="B8" s="78">
        <v>1.724</v>
      </c>
      <c r="C8" s="78">
        <v>2.0190000000000001</v>
      </c>
      <c r="D8" s="78">
        <v>2.0499999999999998</v>
      </c>
      <c r="E8" s="78">
        <v>2.0529999999999999</v>
      </c>
      <c r="F8" s="63">
        <v>2.0579999999999998</v>
      </c>
      <c r="G8" s="78">
        <v>0.76500000000000001</v>
      </c>
      <c r="H8" s="78">
        <v>1.7949999999999999</v>
      </c>
      <c r="I8" s="63">
        <v>1.8286</v>
      </c>
      <c r="J8" s="63">
        <v>1.8312759999999999</v>
      </c>
      <c r="K8" s="63">
        <v>1.8357359999999998</v>
      </c>
      <c r="L8" s="83">
        <f t="shared" si="0"/>
        <v>443.73549883990722</v>
      </c>
      <c r="M8" s="83">
        <f t="shared" si="1"/>
        <v>889.05398712233773</v>
      </c>
      <c r="N8" s="83">
        <f t="shared" si="2"/>
        <v>892.00000000000011</v>
      </c>
      <c r="O8" s="83">
        <f t="shared" si="3"/>
        <v>892</v>
      </c>
      <c r="P8" s="83">
        <f t="shared" si="3"/>
        <v>892</v>
      </c>
      <c r="Q8" s="139"/>
      <c r="R8" s="139"/>
    </row>
    <row r="9" spans="1:18" ht="23.25" customHeight="1" x14ac:dyDescent="0.2">
      <c r="A9" s="184" t="s">
        <v>28</v>
      </c>
      <c r="B9" s="78">
        <v>11.77</v>
      </c>
      <c r="C9" s="78">
        <v>11.874000000000001</v>
      </c>
      <c r="D9" s="78">
        <v>12.214</v>
      </c>
      <c r="E9" s="78">
        <v>11.983000000000001</v>
      </c>
      <c r="F9" s="63">
        <v>12.026999999999999</v>
      </c>
      <c r="G9" s="78">
        <v>7.9989999999999997</v>
      </c>
      <c r="H9" s="78">
        <v>8.39</v>
      </c>
      <c r="I9" s="63">
        <v>8.3421620000000001</v>
      </c>
      <c r="J9" s="63">
        <v>8.3521509999999992</v>
      </c>
      <c r="K9" s="63">
        <v>8.5271430000000006</v>
      </c>
      <c r="L9" s="83">
        <f t="shared" si="0"/>
        <v>679.60917587085817</v>
      </c>
      <c r="M9" s="83">
        <f t="shared" si="1"/>
        <v>706.58581775307391</v>
      </c>
      <c r="N9" s="83">
        <f t="shared" si="2"/>
        <v>682.99999999999989</v>
      </c>
      <c r="O9" s="83">
        <f t="shared" si="3"/>
        <v>697</v>
      </c>
      <c r="P9" s="83">
        <f t="shared" si="3"/>
        <v>709.00000000000011</v>
      </c>
      <c r="Q9" s="139"/>
      <c r="R9" s="139"/>
    </row>
    <row r="10" spans="1:18" ht="23.25" customHeight="1" x14ac:dyDescent="0.2">
      <c r="A10" s="184" t="s">
        <v>33</v>
      </c>
      <c r="B10" s="78">
        <v>2.754</v>
      </c>
      <c r="C10" s="78">
        <v>2.0270000000000001</v>
      </c>
      <c r="D10" s="78">
        <v>1.571</v>
      </c>
      <c r="E10" s="78">
        <v>1.619</v>
      </c>
      <c r="F10" s="63">
        <v>1.2989999999999999</v>
      </c>
      <c r="G10" s="78">
        <v>2.39</v>
      </c>
      <c r="H10" s="78">
        <v>1.7769999999999999</v>
      </c>
      <c r="I10" s="63">
        <v>1.377767</v>
      </c>
      <c r="J10" s="63">
        <v>1.4133869999999999</v>
      </c>
      <c r="K10" s="63">
        <v>1.1379239999999999</v>
      </c>
      <c r="L10" s="83">
        <f t="shared" si="0"/>
        <v>867.82861292665211</v>
      </c>
      <c r="M10" s="83">
        <f t="shared" si="1"/>
        <v>876.66502220029588</v>
      </c>
      <c r="N10" s="83">
        <f t="shared" si="2"/>
        <v>877</v>
      </c>
      <c r="O10" s="83">
        <f t="shared" si="3"/>
        <v>873</v>
      </c>
      <c r="P10" s="83">
        <f t="shared" si="3"/>
        <v>876</v>
      </c>
      <c r="Q10" s="139"/>
      <c r="R10" s="139"/>
    </row>
    <row r="11" spans="1:18" ht="23.25" customHeight="1" x14ac:dyDescent="0.2">
      <c r="A11" s="184" t="s">
        <v>29</v>
      </c>
      <c r="B11" s="78">
        <v>18.899999999999999</v>
      </c>
      <c r="C11" s="78">
        <v>19.7</v>
      </c>
      <c r="D11" s="78">
        <v>24.92</v>
      </c>
      <c r="E11" s="78">
        <v>20.89</v>
      </c>
      <c r="F11" s="63">
        <v>15.31</v>
      </c>
      <c r="G11" s="78">
        <v>6.5</v>
      </c>
      <c r="H11" s="78">
        <v>7.9</v>
      </c>
      <c r="I11" s="63">
        <v>8.3731200000000001</v>
      </c>
      <c r="J11" s="63">
        <v>7.2279400000000003</v>
      </c>
      <c r="K11" s="63">
        <v>6.8588800000000001</v>
      </c>
      <c r="L11" s="83">
        <f t="shared" si="0"/>
        <v>343.91534391534395</v>
      </c>
      <c r="M11" s="83">
        <f t="shared" si="1"/>
        <v>401.01522842639599</v>
      </c>
      <c r="N11" s="83">
        <f t="shared" si="2"/>
        <v>335.99999999999994</v>
      </c>
      <c r="O11" s="83">
        <f t="shared" si="3"/>
        <v>346.00000000000006</v>
      </c>
      <c r="P11" s="83">
        <f t="shared" si="3"/>
        <v>448</v>
      </c>
      <c r="Q11" s="139"/>
      <c r="R11" s="139"/>
    </row>
    <row r="12" spans="1:18" ht="23.25" customHeight="1" x14ac:dyDescent="0.2">
      <c r="A12" s="184" t="s">
        <v>8</v>
      </c>
      <c r="B12" s="78">
        <f>153+11</f>
        <v>164</v>
      </c>
      <c r="C12" s="78">
        <v>150</v>
      </c>
      <c r="D12" s="78">
        <v>123</v>
      </c>
      <c r="E12" s="78">
        <v>97.73</v>
      </c>
      <c r="F12" s="63">
        <v>165.68</v>
      </c>
      <c r="G12" s="78">
        <f>59+5</f>
        <v>64</v>
      </c>
      <c r="H12" s="78">
        <v>78</v>
      </c>
      <c r="I12" s="63">
        <v>72.692999999999998</v>
      </c>
      <c r="J12" s="63">
        <v>48.669539999999998</v>
      </c>
      <c r="K12" s="63">
        <v>107.52632000000001</v>
      </c>
      <c r="L12" s="83">
        <f t="shared" si="0"/>
        <v>390.2439024390244</v>
      </c>
      <c r="M12" s="83">
        <f t="shared" si="1"/>
        <v>520</v>
      </c>
      <c r="N12" s="83">
        <f t="shared" si="2"/>
        <v>591</v>
      </c>
      <c r="O12" s="83">
        <f t="shared" si="3"/>
        <v>497.99999999999994</v>
      </c>
      <c r="P12" s="83">
        <f t="shared" si="3"/>
        <v>649</v>
      </c>
      <c r="Q12" s="139"/>
      <c r="R12" s="139"/>
    </row>
    <row r="13" spans="1:18" ht="23.25" customHeight="1" x14ac:dyDescent="0.2">
      <c r="A13" s="184" t="s">
        <v>34</v>
      </c>
      <c r="B13" s="78">
        <v>3.4</v>
      </c>
      <c r="C13" s="78">
        <v>1.6</v>
      </c>
      <c r="D13" s="78">
        <v>1.3</v>
      </c>
      <c r="E13" s="78">
        <v>1.5</v>
      </c>
      <c r="F13" s="63">
        <v>1.6</v>
      </c>
      <c r="G13" s="78">
        <v>1.3</v>
      </c>
      <c r="H13" s="78">
        <v>0.64</v>
      </c>
      <c r="I13" s="63">
        <v>0.79949999999999999</v>
      </c>
      <c r="J13" s="63">
        <v>0.92249999999999999</v>
      </c>
      <c r="K13" s="63">
        <v>0.90400000000000003</v>
      </c>
      <c r="L13" s="83">
        <f t="shared" si="0"/>
        <v>382.35294117647061</v>
      </c>
      <c r="M13" s="83">
        <f t="shared" si="1"/>
        <v>399.99999999999994</v>
      </c>
      <c r="N13" s="83">
        <f t="shared" si="2"/>
        <v>615</v>
      </c>
      <c r="O13" s="83">
        <f t="shared" si="3"/>
        <v>615</v>
      </c>
      <c r="P13" s="83">
        <f t="shared" si="3"/>
        <v>565</v>
      </c>
      <c r="Q13" s="139"/>
      <c r="R13" s="139"/>
    </row>
    <row r="14" spans="1:18" ht="23.25" customHeight="1" x14ac:dyDescent="0.2">
      <c r="A14" s="184" t="s">
        <v>45</v>
      </c>
      <c r="B14" s="78">
        <v>2.6</v>
      </c>
      <c r="C14" s="78">
        <v>2.2949999999999999</v>
      </c>
      <c r="D14" s="78">
        <v>0.127</v>
      </c>
      <c r="E14" s="78">
        <v>0.32700000000000001</v>
      </c>
      <c r="F14" s="63">
        <v>0.379</v>
      </c>
      <c r="G14" s="78">
        <v>0.9</v>
      </c>
      <c r="H14" s="78">
        <v>0.81399999999999995</v>
      </c>
      <c r="I14" s="63">
        <v>5.7149999999999999E-2</v>
      </c>
      <c r="J14" s="63">
        <v>0.14715</v>
      </c>
      <c r="K14" s="63">
        <v>0.1895</v>
      </c>
      <c r="L14" s="83">
        <f t="shared" si="0"/>
        <v>346.15384615384613</v>
      </c>
      <c r="M14" s="83">
        <f t="shared" si="1"/>
        <v>354.6840958605664</v>
      </c>
      <c r="N14" s="83">
        <f t="shared" si="2"/>
        <v>450</v>
      </c>
      <c r="O14" s="83">
        <f t="shared" si="3"/>
        <v>450</v>
      </c>
      <c r="P14" s="83">
        <f t="shared" si="3"/>
        <v>500</v>
      </c>
      <c r="Q14" s="139"/>
      <c r="R14" s="139"/>
    </row>
    <row r="15" spans="1:18" ht="23.25" customHeight="1" x14ac:dyDescent="0.2">
      <c r="A15" s="184" t="s">
        <v>35</v>
      </c>
      <c r="B15" s="78">
        <v>3.7389999999999999</v>
      </c>
      <c r="C15" s="78">
        <v>5.7469999999999999</v>
      </c>
      <c r="D15" s="78">
        <v>4.3259999999999996</v>
      </c>
      <c r="E15" s="78">
        <v>4.4219999999999997</v>
      </c>
      <c r="F15" s="63">
        <v>3.8250000000000002</v>
      </c>
      <c r="G15" s="78">
        <v>1.5325</v>
      </c>
      <c r="H15" s="78">
        <v>2.496</v>
      </c>
      <c r="I15" s="63">
        <v>1.7606819999999999</v>
      </c>
      <c r="J15" s="63">
        <v>1.8085979999999999</v>
      </c>
      <c r="K15" s="63">
        <v>1.5644250000000002</v>
      </c>
      <c r="L15" s="83">
        <f t="shared" si="0"/>
        <v>409.86894891682266</v>
      </c>
      <c r="M15" s="83">
        <f t="shared" si="1"/>
        <v>434.31355489820777</v>
      </c>
      <c r="N15" s="83">
        <f t="shared" si="2"/>
        <v>407</v>
      </c>
      <c r="O15" s="83">
        <f t="shared" si="3"/>
        <v>409.00000000000006</v>
      </c>
      <c r="P15" s="83">
        <f t="shared" si="3"/>
        <v>409.00000000000006</v>
      </c>
      <c r="Q15" s="139"/>
      <c r="R15" s="139"/>
    </row>
    <row r="16" spans="1:18" ht="23.25" customHeight="1" x14ac:dyDescent="0.2">
      <c r="A16" s="184" t="s">
        <v>30</v>
      </c>
      <c r="B16" s="78">
        <v>5.1689999999999996</v>
      </c>
      <c r="C16" s="78">
        <v>6.407</v>
      </c>
      <c r="D16" s="78">
        <v>16.167999999999999</v>
      </c>
      <c r="E16" s="78">
        <v>14.634</v>
      </c>
      <c r="F16" s="63">
        <v>5.8440000000000003</v>
      </c>
      <c r="G16" s="78">
        <v>1.8280000000000001</v>
      </c>
      <c r="H16" s="78">
        <v>3.1059999999999999</v>
      </c>
      <c r="I16" s="63">
        <v>6.6935519999999995</v>
      </c>
      <c r="J16" s="63">
        <v>5.1219000000000001</v>
      </c>
      <c r="K16" s="63">
        <v>2.2265640000000002</v>
      </c>
      <c r="L16" s="83">
        <f t="shared" si="0"/>
        <v>353.64674018185337</v>
      </c>
      <c r="M16" s="83">
        <f t="shared" si="1"/>
        <v>484.78226939285156</v>
      </c>
      <c r="N16" s="83">
        <f t="shared" si="2"/>
        <v>414</v>
      </c>
      <c r="O16" s="83">
        <f t="shared" si="3"/>
        <v>350</v>
      </c>
      <c r="P16" s="83">
        <f t="shared" si="3"/>
        <v>381</v>
      </c>
      <c r="Q16" s="139"/>
      <c r="R16" s="139"/>
    </row>
    <row r="17" spans="1:18" ht="23.25" customHeight="1" x14ac:dyDescent="0.2">
      <c r="A17" s="184" t="s">
        <v>11</v>
      </c>
      <c r="B17" s="78">
        <v>51</v>
      </c>
      <c r="C17" s="78">
        <v>35</v>
      </c>
      <c r="D17" s="78">
        <v>36</v>
      </c>
      <c r="E17" s="78">
        <v>23.75</v>
      </c>
      <c r="F17" s="63">
        <v>29</v>
      </c>
      <c r="G17" s="78">
        <v>24</v>
      </c>
      <c r="H17" s="78">
        <v>22</v>
      </c>
      <c r="I17" s="63">
        <v>23.776199999999999</v>
      </c>
      <c r="J17" s="63">
        <v>15.793749999999999</v>
      </c>
      <c r="K17" s="63">
        <v>25.056000000000001</v>
      </c>
      <c r="L17" s="83">
        <f t="shared" si="0"/>
        <v>470.58823529411762</v>
      </c>
      <c r="M17" s="83">
        <f t="shared" si="1"/>
        <v>628.57142857142856</v>
      </c>
      <c r="N17" s="83">
        <f t="shared" si="2"/>
        <v>660.44999999999993</v>
      </c>
      <c r="O17" s="83">
        <f t="shared" si="3"/>
        <v>664.99999999999989</v>
      </c>
      <c r="P17" s="83">
        <f t="shared" si="3"/>
        <v>864</v>
      </c>
      <c r="Q17" s="139"/>
      <c r="R17" s="139"/>
    </row>
    <row r="18" spans="1:18" ht="23.25" customHeight="1" x14ac:dyDescent="0.2">
      <c r="A18" s="184" t="s">
        <v>12</v>
      </c>
      <c r="B18" s="78">
        <v>0.187</v>
      </c>
      <c r="C18" s="78">
        <v>0.17899999999999999</v>
      </c>
      <c r="D18" s="78">
        <v>0.23910000000000001</v>
      </c>
      <c r="E18" s="78">
        <v>0.37759999999999999</v>
      </c>
      <c r="F18" s="63">
        <v>0.20799999999999999</v>
      </c>
      <c r="G18" s="78">
        <v>4.8000000000000001E-2</v>
      </c>
      <c r="H18" s="78">
        <v>0.06</v>
      </c>
      <c r="I18" s="63">
        <v>7.9859400000000011E-2</v>
      </c>
      <c r="J18" s="63">
        <v>0.15783679999999997</v>
      </c>
      <c r="K18" s="63">
        <v>9.1312000000000004E-2</v>
      </c>
      <c r="L18" s="83">
        <f t="shared" si="0"/>
        <v>256.68449197860963</v>
      </c>
      <c r="M18" s="83">
        <f t="shared" si="1"/>
        <v>335.19553072625695</v>
      </c>
      <c r="N18" s="83">
        <f t="shared" si="2"/>
        <v>334</v>
      </c>
      <c r="O18" s="83">
        <f t="shared" si="3"/>
        <v>417.99999999999994</v>
      </c>
      <c r="P18" s="83">
        <f t="shared" si="3"/>
        <v>439.00000000000006</v>
      </c>
      <c r="Q18" s="139"/>
      <c r="R18" s="139"/>
    </row>
    <row r="19" spans="1:18" ht="23.25" customHeight="1" x14ac:dyDescent="0.2">
      <c r="A19" s="184" t="s">
        <v>13</v>
      </c>
      <c r="B19" s="78">
        <v>365</v>
      </c>
      <c r="C19" s="78">
        <v>380</v>
      </c>
      <c r="D19" s="78">
        <v>424</v>
      </c>
      <c r="E19" s="78">
        <v>248</v>
      </c>
      <c r="F19" s="63">
        <v>315</v>
      </c>
      <c r="G19" s="78">
        <v>179.58</v>
      </c>
      <c r="H19" s="78">
        <v>165</v>
      </c>
      <c r="I19" s="63">
        <v>187</v>
      </c>
      <c r="J19" s="63">
        <v>138.63200000000001</v>
      </c>
      <c r="K19" s="63">
        <v>126</v>
      </c>
      <c r="L19" s="83">
        <f t="shared" si="0"/>
        <v>492.00000000000006</v>
      </c>
      <c r="M19" s="83">
        <f t="shared" si="1"/>
        <v>434.21052631578948</v>
      </c>
      <c r="N19" s="83">
        <f t="shared" si="2"/>
        <v>441.03773584905662</v>
      </c>
      <c r="O19" s="83">
        <f t="shared" si="3"/>
        <v>559</v>
      </c>
      <c r="P19" s="83">
        <f t="shared" si="3"/>
        <v>400</v>
      </c>
      <c r="Q19" s="139"/>
      <c r="R19" s="139"/>
    </row>
    <row r="20" spans="1:18" ht="23.25" customHeight="1" x14ac:dyDescent="0.2">
      <c r="A20" s="187" t="s">
        <v>14</v>
      </c>
      <c r="B20" s="78">
        <v>30</v>
      </c>
      <c r="C20" s="78">
        <v>33.5</v>
      </c>
      <c r="D20" s="78">
        <v>32</v>
      </c>
      <c r="E20" s="78">
        <v>39.200000000000003</v>
      </c>
      <c r="F20" s="63">
        <v>26</v>
      </c>
      <c r="G20" s="78">
        <v>4</v>
      </c>
      <c r="H20" s="78">
        <v>7.8</v>
      </c>
      <c r="I20" s="63">
        <v>6.7519999999999998</v>
      </c>
      <c r="J20" s="63">
        <v>6.5464000000000002</v>
      </c>
      <c r="K20" s="63">
        <v>5.2</v>
      </c>
      <c r="L20" s="83">
        <f t="shared" si="0"/>
        <v>133.33333333333334</v>
      </c>
      <c r="M20" s="83">
        <f t="shared" si="1"/>
        <v>232.83582089552237</v>
      </c>
      <c r="N20" s="83">
        <f t="shared" si="2"/>
        <v>211</v>
      </c>
      <c r="O20" s="83">
        <f t="shared" si="3"/>
        <v>166.99999999999997</v>
      </c>
      <c r="P20" s="83">
        <f t="shared" si="3"/>
        <v>200</v>
      </c>
      <c r="Q20" s="139"/>
      <c r="R20" s="139"/>
    </row>
    <row r="21" spans="1:18" ht="23.25" hidden="1" customHeight="1" x14ac:dyDescent="0.2">
      <c r="A21" s="187" t="s">
        <v>36</v>
      </c>
      <c r="B21" s="78">
        <v>0</v>
      </c>
      <c r="C21" s="78">
        <v>0</v>
      </c>
      <c r="D21" s="78">
        <v>0</v>
      </c>
      <c r="E21" s="78"/>
      <c r="F21" s="63"/>
      <c r="G21" s="78">
        <v>0</v>
      </c>
      <c r="H21" s="78">
        <v>0</v>
      </c>
      <c r="I21" s="63">
        <v>0</v>
      </c>
      <c r="J21" s="63">
        <v>0</v>
      </c>
      <c r="K21" s="63">
        <v>0</v>
      </c>
      <c r="L21" s="83" t="e">
        <f t="shared" si="0"/>
        <v>#DIV/0!</v>
      </c>
      <c r="M21" s="83" t="e">
        <f t="shared" si="1"/>
        <v>#DIV/0!</v>
      </c>
      <c r="N21" s="83" t="e">
        <f t="shared" si="2"/>
        <v>#DIV/0!</v>
      </c>
      <c r="O21" s="83" t="e">
        <f t="shared" si="3"/>
        <v>#DIV/0!</v>
      </c>
      <c r="P21" s="83" t="e">
        <f t="shared" si="3"/>
        <v>#DIV/0!</v>
      </c>
      <c r="Q21" s="139"/>
      <c r="R21" s="139"/>
    </row>
    <row r="22" spans="1:18" ht="23.25" customHeight="1" x14ac:dyDescent="0.2">
      <c r="A22" s="187" t="s">
        <v>37</v>
      </c>
      <c r="B22" s="78">
        <v>2.234</v>
      </c>
      <c r="C22" s="78">
        <v>2.36</v>
      </c>
      <c r="D22" s="78">
        <v>2.3730000000000002</v>
      </c>
      <c r="E22" s="78">
        <v>2.379</v>
      </c>
      <c r="F22" s="63">
        <v>2.38</v>
      </c>
      <c r="G22" s="78">
        <v>2.1629999999999998</v>
      </c>
      <c r="H22" s="78">
        <v>2.19</v>
      </c>
      <c r="I22" s="63">
        <v>2.2068900000000005</v>
      </c>
      <c r="J22" s="63">
        <v>2.2196069999999999</v>
      </c>
      <c r="K22" s="63">
        <v>2.2205400000000002</v>
      </c>
      <c r="L22" s="83">
        <f t="shared" si="0"/>
        <v>968.21844225604298</v>
      </c>
      <c r="M22" s="83">
        <f t="shared" si="1"/>
        <v>927.96610169491532</v>
      </c>
      <c r="N22" s="83">
        <f t="shared" si="2"/>
        <v>930.00000000000011</v>
      </c>
      <c r="O22" s="83">
        <f t="shared" si="3"/>
        <v>932.99999999999989</v>
      </c>
      <c r="P22" s="83">
        <f t="shared" si="3"/>
        <v>933.00000000000011</v>
      </c>
      <c r="Q22" s="139"/>
      <c r="R22" s="139"/>
    </row>
    <row r="23" spans="1:18" ht="23.25" customHeight="1" x14ac:dyDescent="0.2">
      <c r="A23" s="187" t="s">
        <v>38</v>
      </c>
      <c r="B23" s="78">
        <v>0.86799999999999999</v>
      </c>
      <c r="C23" s="78">
        <v>0.85</v>
      </c>
      <c r="D23" s="78">
        <v>0.76529999999999998</v>
      </c>
      <c r="E23" s="78">
        <v>0.77</v>
      </c>
      <c r="F23" s="63">
        <v>0.75600000000000001</v>
      </c>
      <c r="G23" s="78">
        <v>0.65</v>
      </c>
      <c r="H23" s="78">
        <v>0.57199999999999995</v>
      </c>
      <c r="I23" s="63">
        <v>0.48299999999999993</v>
      </c>
      <c r="J23" s="63">
        <v>0.59399999999999997</v>
      </c>
      <c r="K23" s="63">
        <v>0.59199999999999997</v>
      </c>
      <c r="L23" s="83">
        <f t="shared" si="0"/>
        <v>748.84792626728108</v>
      </c>
      <c r="M23" s="83">
        <f t="shared" si="1"/>
        <v>672.94117647058818</v>
      </c>
      <c r="N23" s="83">
        <f t="shared" si="2"/>
        <v>631.12504900039187</v>
      </c>
      <c r="O23" s="83">
        <f t="shared" si="3"/>
        <v>771.42857142857133</v>
      </c>
      <c r="P23" s="83">
        <f t="shared" si="3"/>
        <v>783.06878306878298</v>
      </c>
      <c r="Q23" s="139"/>
      <c r="R23" s="139"/>
    </row>
    <row r="24" spans="1:18" ht="23.25" customHeight="1" x14ac:dyDescent="0.2">
      <c r="A24" s="187" t="s">
        <v>15</v>
      </c>
      <c r="B24" s="78">
        <v>3.58</v>
      </c>
      <c r="C24" s="78">
        <v>3.62</v>
      </c>
      <c r="D24" s="78">
        <v>3.66</v>
      </c>
      <c r="E24" s="78">
        <v>3.7</v>
      </c>
      <c r="F24" s="63">
        <v>3.74</v>
      </c>
      <c r="G24" s="78">
        <v>2.16</v>
      </c>
      <c r="H24" s="78">
        <v>2.2000000000000002</v>
      </c>
      <c r="I24" s="63">
        <v>2.2289400000000001</v>
      </c>
      <c r="J24" s="63">
        <v>2.2607000000000004</v>
      </c>
      <c r="K24" s="63">
        <v>2.2888800000000002</v>
      </c>
      <c r="L24" s="83">
        <f t="shared" si="0"/>
        <v>603.35195530726264</v>
      </c>
      <c r="M24" s="83">
        <f t="shared" si="1"/>
        <v>607.73480662983422</v>
      </c>
      <c r="N24" s="83">
        <f t="shared" si="2"/>
        <v>609</v>
      </c>
      <c r="O24" s="83">
        <f t="shared" si="3"/>
        <v>611.00000000000011</v>
      </c>
      <c r="P24" s="83">
        <f t="shared" si="3"/>
        <v>612</v>
      </c>
      <c r="Q24" s="139"/>
      <c r="R24" s="139"/>
    </row>
    <row r="25" spans="1:18" ht="23.25" customHeight="1" x14ac:dyDescent="0.2">
      <c r="A25" s="187" t="s">
        <v>101</v>
      </c>
      <c r="B25" s="78">
        <f>2.96+12.44+4.63</f>
        <v>20.029999999999998</v>
      </c>
      <c r="C25" s="78">
        <v>16.010000000000002</v>
      </c>
      <c r="D25" s="78">
        <v>14.81</v>
      </c>
      <c r="E25" s="78">
        <v>14.88</v>
      </c>
      <c r="F25" s="63">
        <v>14</v>
      </c>
      <c r="G25" s="78">
        <f>0.62+2.3+1.22</f>
        <v>4.1399999999999997</v>
      </c>
      <c r="H25" s="78">
        <v>4.9000000000000004</v>
      </c>
      <c r="I25" s="63">
        <v>4.1319900000000001</v>
      </c>
      <c r="J25" s="63">
        <v>3.4968000000000004</v>
      </c>
      <c r="K25" s="63">
        <v>4.0739999999999998</v>
      </c>
      <c r="L25" s="83">
        <f t="shared" si="0"/>
        <v>206.68996505242137</v>
      </c>
      <c r="M25" s="83">
        <f t="shared" si="1"/>
        <v>306.05871330418489</v>
      </c>
      <c r="N25" s="83">
        <f t="shared" si="2"/>
        <v>278.99999999999994</v>
      </c>
      <c r="O25" s="83">
        <f t="shared" si="3"/>
        <v>235.00000000000003</v>
      </c>
      <c r="P25" s="83">
        <f t="shared" si="3"/>
        <v>291</v>
      </c>
      <c r="Q25" s="139"/>
      <c r="R25" s="139"/>
    </row>
    <row r="26" spans="1:18" ht="23.25" customHeight="1" x14ac:dyDescent="0.2">
      <c r="A26" s="184" t="s">
        <v>17</v>
      </c>
      <c r="B26" s="78">
        <v>4.7</v>
      </c>
      <c r="C26" s="78">
        <v>3</v>
      </c>
      <c r="D26" s="78">
        <v>2.7</v>
      </c>
      <c r="E26" s="78">
        <v>2.9</v>
      </c>
      <c r="F26" s="63">
        <v>2.6</v>
      </c>
      <c r="G26" s="78">
        <v>1.6</v>
      </c>
      <c r="H26" s="78">
        <v>1.1000000000000001</v>
      </c>
      <c r="I26" s="63">
        <v>0.92880000000000007</v>
      </c>
      <c r="J26" s="63">
        <v>0.79169999999999996</v>
      </c>
      <c r="K26" s="63">
        <v>0.94380000000000008</v>
      </c>
      <c r="L26" s="83">
        <f t="shared" si="0"/>
        <v>340.42553191489361</v>
      </c>
      <c r="M26" s="83">
        <f t="shared" si="1"/>
        <v>366.66666666666669</v>
      </c>
      <c r="N26" s="83">
        <f t="shared" si="2"/>
        <v>344</v>
      </c>
      <c r="O26" s="83">
        <f t="shared" si="3"/>
        <v>273</v>
      </c>
      <c r="P26" s="83">
        <f t="shared" si="3"/>
        <v>363.00000000000006</v>
      </c>
      <c r="Q26" s="139"/>
      <c r="R26" s="139"/>
    </row>
    <row r="27" spans="1:18" ht="23.25" customHeight="1" x14ac:dyDescent="0.2">
      <c r="A27" s="184" t="s">
        <v>18</v>
      </c>
      <c r="B27" s="78">
        <v>366.73599999999999</v>
      </c>
      <c r="C27" s="78">
        <v>266.91899999999998</v>
      </c>
      <c r="D27" s="78">
        <v>251.92500000000001</v>
      </c>
      <c r="E27" s="78">
        <v>242.27099999999999</v>
      </c>
      <c r="F27" s="63">
        <v>279.69499999999999</v>
      </c>
      <c r="G27" s="78">
        <v>115.31</v>
      </c>
      <c r="H27" s="78">
        <v>92.738</v>
      </c>
      <c r="I27" s="63">
        <v>67.767825000000002</v>
      </c>
      <c r="J27" s="63">
        <v>84.310307999999992</v>
      </c>
      <c r="K27" s="63">
        <v>91.739959999999996</v>
      </c>
      <c r="L27" s="83">
        <f t="shared" si="0"/>
        <v>314.42236377121418</v>
      </c>
      <c r="M27" s="83">
        <f t="shared" si="1"/>
        <v>347.4387360959692</v>
      </c>
      <c r="N27" s="83">
        <f t="shared" si="2"/>
        <v>269</v>
      </c>
      <c r="O27" s="83">
        <f t="shared" si="3"/>
        <v>348</v>
      </c>
      <c r="P27" s="83">
        <f t="shared" si="3"/>
        <v>328</v>
      </c>
      <c r="Q27" s="139"/>
      <c r="R27" s="139"/>
    </row>
    <row r="28" spans="1:18" ht="23.25" customHeight="1" x14ac:dyDescent="0.2">
      <c r="A28" s="184" t="s">
        <v>19</v>
      </c>
      <c r="B28" s="78">
        <f>18.55+27.75</f>
        <v>46.3</v>
      </c>
      <c r="C28" s="78">
        <v>28.23</v>
      </c>
      <c r="D28" s="78">
        <v>41.58</v>
      </c>
      <c r="E28" s="78">
        <v>44.61</v>
      </c>
      <c r="F28" s="63">
        <v>53.01</v>
      </c>
      <c r="G28" s="78">
        <f>12.39+16.97</f>
        <v>29.36</v>
      </c>
      <c r="H28" s="78">
        <v>10.84</v>
      </c>
      <c r="I28" s="63">
        <v>23.076899999999998</v>
      </c>
      <c r="J28" s="63">
        <v>24.446279999999998</v>
      </c>
      <c r="K28" s="63">
        <v>36.470879999999994</v>
      </c>
      <c r="L28" s="83">
        <f t="shared" si="0"/>
        <v>634.12526997840178</v>
      </c>
      <c r="M28" s="83">
        <f t="shared" si="1"/>
        <v>383.98866454126812</v>
      </c>
      <c r="N28" s="83">
        <f t="shared" si="2"/>
        <v>554.99999999999989</v>
      </c>
      <c r="O28" s="83">
        <f t="shared" si="3"/>
        <v>547.99999999999989</v>
      </c>
      <c r="P28" s="83">
        <f t="shared" si="3"/>
        <v>688</v>
      </c>
      <c r="Q28" s="139"/>
      <c r="R28" s="139"/>
    </row>
    <row r="29" spans="1:18" ht="23.25" customHeight="1" x14ac:dyDescent="0.2">
      <c r="A29" s="184" t="s">
        <v>103</v>
      </c>
      <c r="B29" s="78">
        <v>14</v>
      </c>
      <c r="C29" s="78">
        <v>21</v>
      </c>
      <c r="D29" s="78">
        <v>16</v>
      </c>
      <c r="E29" s="78">
        <v>18</v>
      </c>
      <c r="F29" s="63">
        <v>21</v>
      </c>
      <c r="G29" s="78">
        <v>3</v>
      </c>
      <c r="H29" s="78">
        <v>15</v>
      </c>
      <c r="I29" s="63">
        <v>8.7520000000000007</v>
      </c>
      <c r="J29" s="63">
        <v>12.186</v>
      </c>
      <c r="K29" s="63">
        <v>13.356</v>
      </c>
      <c r="L29" s="83">
        <f t="shared" si="0"/>
        <v>214.28571428571428</v>
      </c>
      <c r="M29" s="83">
        <f t="shared" si="1"/>
        <v>714.28571428571433</v>
      </c>
      <c r="N29" s="83">
        <f t="shared" si="2"/>
        <v>547</v>
      </c>
      <c r="O29" s="83">
        <f t="shared" si="3"/>
        <v>677</v>
      </c>
      <c r="P29" s="83">
        <f t="shared" si="3"/>
        <v>636</v>
      </c>
      <c r="Q29" s="139"/>
      <c r="R29" s="139"/>
    </row>
    <row r="30" spans="1:18" ht="23.25" customHeight="1" x14ac:dyDescent="0.2">
      <c r="A30" s="184" t="s">
        <v>39</v>
      </c>
      <c r="B30" s="78">
        <v>3.8980000000000001</v>
      </c>
      <c r="C30" s="78">
        <v>5.59</v>
      </c>
      <c r="D30" s="78">
        <v>7.0350000000000001</v>
      </c>
      <c r="E30" s="78">
        <v>6.9669999999999996</v>
      </c>
      <c r="F30" s="63">
        <v>6.6</v>
      </c>
      <c r="G30" s="78">
        <v>2.2610000000000001</v>
      </c>
      <c r="H30" s="78">
        <v>3.2759999999999998</v>
      </c>
      <c r="I30" s="63">
        <v>4.1506499999999997</v>
      </c>
      <c r="J30" s="63">
        <v>4.3334739999999998</v>
      </c>
      <c r="K30" s="63">
        <v>4.2</v>
      </c>
      <c r="L30" s="83">
        <f t="shared" si="0"/>
        <v>580.04104669061064</v>
      </c>
      <c r="M30" s="83">
        <f t="shared" si="1"/>
        <v>586.04651162790697</v>
      </c>
      <c r="N30" s="83">
        <f t="shared" si="2"/>
        <v>590</v>
      </c>
      <c r="O30" s="83">
        <f t="shared" si="3"/>
        <v>622</v>
      </c>
      <c r="P30" s="83">
        <f t="shared" si="3"/>
        <v>636.36363636363649</v>
      </c>
      <c r="Q30" s="139"/>
      <c r="R30" s="139"/>
    </row>
    <row r="31" spans="1:18" ht="23.25" customHeight="1" x14ac:dyDescent="0.2">
      <c r="A31" s="187" t="s">
        <v>22</v>
      </c>
      <c r="B31" s="78">
        <v>546</v>
      </c>
      <c r="C31" s="78">
        <v>370.2</v>
      </c>
      <c r="D31" s="78">
        <v>278</v>
      </c>
      <c r="E31" s="78">
        <v>327</v>
      </c>
      <c r="F31" s="63">
        <v>356</v>
      </c>
      <c r="G31" s="78">
        <v>166</v>
      </c>
      <c r="H31" s="78">
        <v>79.222800000000007</v>
      </c>
      <c r="I31" s="63">
        <v>82.01</v>
      </c>
      <c r="J31" s="63">
        <v>73.902000000000001</v>
      </c>
      <c r="K31" s="63">
        <v>65.504000000000005</v>
      </c>
      <c r="L31" s="83">
        <f t="shared" si="0"/>
        <v>304.029304029304</v>
      </c>
      <c r="M31" s="83">
        <f t="shared" si="1"/>
        <v>214.00000000000003</v>
      </c>
      <c r="N31" s="83">
        <f t="shared" si="2"/>
        <v>295.00000000000006</v>
      </c>
      <c r="O31" s="83">
        <f t="shared" si="3"/>
        <v>226</v>
      </c>
      <c r="P31" s="83">
        <f t="shared" si="3"/>
        <v>184.00000000000003</v>
      </c>
      <c r="Q31" s="139"/>
      <c r="R31" s="139"/>
    </row>
    <row r="32" spans="1:18" ht="23.25" customHeight="1" x14ac:dyDescent="0.2">
      <c r="A32" s="184" t="s">
        <v>84</v>
      </c>
      <c r="B32" s="78">
        <v>1.77</v>
      </c>
      <c r="C32" s="78">
        <v>2</v>
      </c>
      <c r="D32" s="78">
        <v>2</v>
      </c>
      <c r="E32" s="78">
        <v>2</v>
      </c>
      <c r="F32" s="63">
        <v>2</v>
      </c>
      <c r="G32" s="78">
        <v>0.48</v>
      </c>
      <c r="H32" s="78">
        <v>1</v>
      </c>
      <c r="I32" s="63">
        <v>0.58599999999999997</v>
      </c>
      <c r="J32" s="63">
        <v>0.59599999999999997</v>
      </c>
      <c r="K32" s="63">
        <v>0.60199999999999998</v>
      </c>
      <c r="L32" s="83">
        <f t="shared" si="0"/>
        <v>271.18644067796612</v>
      </c>
      <c r="M32" s="83">
        <f t="shared" si="1"/>
        <v>500</v>
      </c>
      <c r="N32" s="83">
        <f t="shared" si="2"/>
        <v>293</v>
      </c>
      <c r="O32" s="83">
        <f t="shared" si="3"/>
        <v>298</v>
      </c>
      <c r="P32" s="83">
        <f t="shared" si="3"/>
        <v>301</v>
      </c>
      <c r="Q32" s="17"/>
      <c r="R32" s="17"/>
    </row>
    <row r="33" spans="1:18" ht="23.25" customHeight="1" x14ac:dyDescent="0.2">
      <c r="A33" s="184" t="s">
        <v>73</v>
      </c>
      <c r="B33" s="78">
        <f>2.5+224.865</f>
        <v>227.36500000000001</v>
      </c>
      <c r="C33" s="78">
        <v>232.71299999999999</v>
      </c>
      <c r="D33" s="78">
        <v>240.9</v>
      </c>
      <c r="E33" s="78">
        <v>239.874</v>
      </c>
      <c r="F33" s="63">
        <v>263.37</v>
      </c>
      <c r="G33" s="78">
        <v>214</v>
      </c>
      <c r="H33" s="78">
        <v>217.136</v>
      </c>
      <c r="I33" s="63">
        <v>228.5</v>
      </c>
      <c r="J33" s="63">
        <v>230.518914</v>
      </c>
      <c r="K33" s="63">
        <v>134.84544</v>
      </c>
      <c r="L33" s="83">
        <f t="shared" si="0"/>
        <v>941.21786554658809</v>
      </c>
      <c r="M33" s="83">
        <f t="shared" si="1"/>
        <v>933.06347303330722</v>
      </c>
      <c r="N33" s="83">
        <f t="shared" si="2"/>
        <v>948.52635948526358</v>
      </c>
      <c r="O33" s="83">
        <f t="shared" si="3"/>
        <v>961</v>
      </c>
      <c r="P33" s="83">
        <f t="shared" si="3"/>
        <v>512</v>
      </c>
      <c r="Q33" s="139"/>
      <c r="R33" s="139"/>
    </row>
    <row r="34" spans="1:18" ht="23.25" customHeight="1" x14ac:dyDescent="0.2">
      <c r="A34" s="184" t="s">
        <v>102</v>
      </c>
      <c r="B34" s="78">
        <v>3.5000000000000003E-2</v>
      </c>
      <c r="C34" s="78">
        <v>4.0000000000000001E-3</v>
      </c>
      <c r="D34" s="78">
        <v>2.3000000000000001E-4</v>
      </c>
      <c r="E34" s="78">
        <v>1.1999999999999999E-3</v>
      </c>
      <c r="F34" s="63"/>
      <c r="G34" s="78">
        <v>6.7000000000000002E-3</v>
      </c>
      <c r="H34" s="78">
        <v>1.0499999999999999E-3</v>
      </c>
      <c r="I34" s="63">
        <v>2.6979E-4</v>
      </c>
      <c r="J34" s="63">
        <v>2.9999999999999997E-4</v>
      </c>
      <c r="K34" s="63">
        <v>0</v>
      </c>
      <c r="L34" s="83">
        <f t="shared" si="0"/>
        <v>191.42857142857142</v>
      </c>
      <c r="M34" s="83">
        <f t="shared" si="1"/>
        <v>262.49999999999994</v>
      </c>
      <c r="N34" s="83">
        <f t="shared" si="2"/>
        <v>1173</v>
      </c>
      <c r="O34" s="83">
        <f t="shared" si="3"/>
        <v>250</v>
      </c>
      <c r="P34" s="83" t="e">
        <f t="shared" si="3"/>
        <v>#DIV/0!</v>
      </c>
      <c r="Q34" s="139"/>
      <c r="R34" s="139"/>
    </row>
    <row r="35" spans="1:18" ht="23.25" customHeight="1" x14ac:dyDescent="0.2">
      <c r="A35" s="182" t="s">
        <v>53</v>
      </c>
      <c r="B35" s="78">
        <v>0</v>
      </c>
      <c r="C35" s="78">
        <v>6.0000000000000001E-3</v>
      </c>
      <c r="D35" s="78">
        <v>6.0000000000000001E-3</v>
      </c>
      <c r="E35" s="78">
        <v>0.01</v>
      </c>
      <c r="F35" s="195">
        <v>6.0000000000000001E-3</v>
      </c>
      <c r="G35" s="78">
        <v>0</v>
      </c>
      <c r="H35" s="78">
        <v>1.5E-3</v>
      </c>
      <c r="I35" s="63">
        <v>1.5E-3</v>
      </c>
      <c r="J35" s="63">
        <v>8.2699999999999996E-3</v>
      </c>
      <c r="K35" s="195">
        <v>1.5E-3</v>
      </c>
      <c r="L35" s="83" t="e">
        <f t="shared" si="0"/>
        <v>#DIV/0!</v>
      </c>
      <c r="M35" s="83">
        <f t="shared" si="1"/>
        <v>250</v>
      </c>
      <c r="N35" s="83">
        <f t="shared" si="2"/>
        <v>250</v>
      </c>
      <c r="O35" s="83">
        <f t="shared" si="3"/>
        <v>827</v>
      </c>
      <c r="P35" s="83">
        <f t="shared" si="3"/>
        <v>250</v>
      </c>
      <c r="Q35" s="139"/>
      <c r="R35" s="139"/>
    </row>
    <row r="36" spans="1:18" ht="23.25" customHeight="1" x14ac:dyDescent="0.2">
      <c r="A36" s="184" t="s">
        <v>137</v>
      </c>
      <c r="B36" s="78">
        <v>0.121</v>
      </c>
      <c r="C36" s="78">
        <v>7.5999999999999998E-2</v>
      </c>
      <c r="D36" s="78">
        <v>9.7000000000000003E-2</v>
      </c>
      <c r="E36" s="78">
        <v>0.127</v>
      </c>
      <c r="F36" s="195">
        <v>0.215</v>
      </c>
      <c r="G36" s="78">
        <v>9.1999999999999998E-2</v>
      </c>
      <c r="H36" s="78">
        <v>7.4999999999999997E-2</v>
      </c>
      <c r="I36" s="63">
        <v>0.106991</v>
      </c>
      <c r="J36" s="63">
        <v>0.10896600000000001</v>
      </c>
      <c r="K36" s="195">
        <v>0.164045</v>
      </c>
      <c r="L36" s="83">
        <f t="shared" si="0"/>
        <v>760.33057851239676</v>
      </c>
      <c r="M36" s="83">
        <f t="shared" si="1"/>
        <v>986.8421052631578</v>
      </c>
      <c r="N36" s="83">
        <f t="shared" si="2"/>
        <v>1103</v>
      </c>
      <c r="O36" s="83">
        <f t="shared" si="3"/>
        <v>858.00000000000011</v>
      </c>
      <c r="P36" s="83">
        <f t="shared" si="3"/>
        <v>763</v>
      </c>
      <c r="Q36" s="139"/>
      <c r="R36" s="139"/>
    </row>
    <row r="37" spans="1:18" s="18" customFormat="1" ht="23.25" customHeight="1" x14ac:dyDescent="0.2">
      <c r="A37" s="184" t="s">
        <v>24</v>
      </c>
      <c r="B37" s="80">
        <f t="shared" ref="B37:K37" si="4">SUM(B7:B36)</f>
        <v>1950.88</v>
      </c>
      <c r="C37" s="80">
        <f t="shared" si="4"/>
        <v>1666.9259999999999</v>
      </c>
      <c r="D37" s="80">
        <f t="shared" si="4"/>
        <v>1579.7666300000003</v>
      </c>
      <c r="E37" s="80">
        <f t="shared" si="4"/>
        <v>1419.9748</v>
      </c>
      <c r="F37" s="80">
        <f t="shared" si="4"/>
        <v>1622.6019999999999</v>
      </c>
      <c r="G37" s="80">
        <f t="shared" si="4"/>
        <v>850.06520000000012</v>
      </c>
      <c r="H37" s="80">
        <f t="shared" si="4"/>
        <v>747.03034999999988</v>
      </c>
      <c r="I37" s="80">
        <f t="shared" si="4"/>
        <v>755.42534818999991</v>
      </c>
      <c r="J37" s="80">
        <f t="shared" si="4"/>
        <v>689.30974780000008</v>
      </c>
      <c r="K37" s="80">
        <f t="shared" si="4"/>
        <v>657.49784899999997</v>
      </c>
      <c r="L37" s="84">
        <f t="shared" si="0"/>
        <v>435.73423275649964</v>
      </c>
      <c r="M37" s="84">
        <f t="shared" si="1"/>
        <v>448.14847809680811</v>
      </c>
      <c r="N37" s="84">
        <f t="shared" si="2"/>
        <v>478.18793855013877</v>
      </c>
      <c r="O37" s="84">
        <f t="shared" si="3"/>
        <v>485.43801467462674</v>
      </c>
      <c r="P37" s="84">
        <f t="shared" si="3"/>
        <v>405.21202919754819</v>
      </c>
      <c r="Q37" s="141"/>
      <c r="R37" s="141"/>
    </row>
    <row r="38" spans="1:18" x14ac:dyDescent="0.2">
      <c r="A38" s="38"/>
      <c r="B38" s="37"/>
      <c r="C38" s="37"/>
      <c r="D38" s="37"/>
      <c r="E38" s="37"/>
      <c r="F38" s="37"/>
      <c r="G38" s="10"/>
      <c r="H38" s="10"/>
      <c r="I38" s="10"/>
      <c r="J38" s="10"/>
    </row>
    <row r="39" spans="1:18" x14ac:dyDescent="0.2">
      <c r="B39" s="37"/>
      <c r="C39" s="37"/>
      <c r="D39" s="37"/>
      <c r="E39" s="37"/>
      <c r="F39" s="37"/>
      <c r="G39" s="10"/>
      <c r="H39" s="10"/>
      <c r="I39" s="10"/>
      <c r="J39" s="10"/>
    </row>
    <row r="40" spans="1:18" x14ac:dyDescent="0.2">
      <c r="B40" s="37"/>
      <c r="C40" s="37"/>
      <c r="D40" s="37"/>
      <c r="E40" s="37"/>
      <c r="F40" s="37"/>
      <c r="G40" s="10"/>
      <c r="H40" s="10"/>
      <c r="I40" s="10"/>
      <c r="J40" s="10"/>
    </row>
    <row r="41" spans="1:18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8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8" x14ac:dyDescent="0.2">
      <c r="B43" s="37"/>
      <c r="C43" s="37"/>
      <c r="D43" s="37"/>
      <c r="E43" s="37"/>
      <c r="F43" s="37"/>
      <c r="G43" s="10"/>
      <c r="H43" s="10"/>
      <c r="I43" s="10"/>
      <c r="J43" s="10"/>
    </row>
    <row r="44" spans="1:18" x14ac:dyDescent="0.2">
      <c r="B44" s="37"/>
      <c r="C44" s="37"/>
      <c r="D44" s="37"/>
      <c r="E44" s="37"/>
      <c r="F44" s="37"/>
      <c r="G44" s="10"/>
      <c r="H44" s="10"/>
      <c r="I44" s="10"/>
      <c r="J44" s="10"/>
    </row>
    <row r="45" spans="1:18" x14ac:dyDescent="0.2">
      <c r="B45" s="37"/>
      <c r="C45" s="37"/>
      <c r="D45" s="37"/>
      <c r="E45" s="37"/>
      <c r="F45" s="37"/>
      <c r="G45" s="10"/>
      <c r="H45" s="10"/>
      <c r="I45" s="10"/>
      <c r="J45" s="10"/>
      <c r="K45" s="10"/>
    </row>
    <row r="46" spans="1:18" x14ac:dyDescent="0.2">
      <c r="B46" s="37"/>
      <c r="C46" s="37"/>
      <c r="D46" s="37"/>
      <c r="E46" s="37"/>
      <c r="F46" s="37"/>
      <c r="G46" s="10"/>
      <c r="H46" s="10"/>
      <c r="I46" s="10"/>
      <c r="J46" s="10"/>
      <c r="K46" s="10"/>
    </row>
    <row r="47" spans="1:18" x14ac:dyDescent="0.2">
      <c r="B47" s="37"/>
      <c r="C47" s="37"/>
      <c r="D47" s="37"/>
      <c r="E47" s="37"/>
      <c r="F47" s="37"/>
      <c r="G47" s="10"/>
      <c r="H47" s="10"/>
      <c r="I47" s="10"/>
      <c r="J47" s="10"/>
      <c r="K47" s="10"/>
    </row>
    <row r="48" spans="1:18" x14ac:dyDescent="0.2">
      <c r="B48" s="3"/>
      <c r="C48" s="3"/>
      <c r="D48" s="3"/>
      <c r="E48" s="3"/>
      <c r="F48" s="179"/>
      <c r="G48" s="11"/>
      <c r="H48" s="11"/>
      <c r="I48" s="11"/>
      <c r="J48" s="11"/>
      <c r="K48" s="11"/>
    </row>
  </sheetData>
  <mergeCells count="5">
    <mergeCell ref="A5:A6"/>
    <mergeCell ref="A3:M3"/>
    <mergeCell ref="B5:F5"/>
    <mergeCell ref="L5:P5"/>
    <mergeCell ref="G5:K5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2"/>
  <sheetViews>
    <sheetView view="pageBreakPreview" zoomScale="50" zoomScaleNormal="60" zoomScaleSheetLayoutView="50" workbookViewId="0">
      <selection activeCell="K24" sqref="B24:K25"/>
    </sheetView>
  </sheetViews>
  <sheetFormatPr defaultRowHeight="15" x14ac:dyDescent="0.2"/>
  <cols>
    <col min="1" max="1" width="28.7109375" style="2" customWidth="1"/>
    <col min="2" max="6" width="13.5703125" style="2" customWidth="1"/>
    <col min="7" max="10" width="13.5703125" style="40" customWidth="1"/>
    <col min="11" max="11" width="13.5703125" style="170" customWidth="1"/>
    <col min="12" max="15" width="12" style="40" customWidth="1"/>
    <col min="16" max="16" width="12" style="170" customWidth="1"/>
    <col min="17" max="18" width="12" style="134" customWidth="1"/>
    <col min="19" max="16384" width="9.140625" style="2"/>
  </cols>
  <sheetData>
    <row r="1" spans="1:18" x14ac:dyDescent="0.2">
      <c r="Q1" s="132"/>
      <c r="R1" s="40"/>
    </row>
    <row r="2" spans="1:18" ht="15" customHeight="1" x14ac:dyDescent="0.2">
      <c r="Q2" s="132"/>
      <c r="R2" s="40"/>
    </row>
    <row r="3" spans="1:18" s="7" customFormat="1" ht="25.5" customHeight="1" x14ac:dyDescent="0.2">
      <c r="A3" s="229" t="s">
        <v>116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61"/>
      <c r="O3" s="61"/>
      <c r="P3" s="61"/>
      <c r="Q3" s="61"/>
      <c r="R3" s="133"/>
    </row>
    <row r="4" spans="1:18" ht="21.75" customHeight="1" x14ac:dyDescent="0.2">
      <c r="A4" s="12"/>
      <c r="B4" s="12"/>
      <c r="C4" s="12"/>
      <c r="D4" s="12"/>
      <c r="E4" s="12"/>
      <c r="F4" s="12"/>
      <c r="G4" s="19"/>
      <c r="H4" s="19"/>
      <c r="I4" s="19"/>
      <c r="J4" s="19"/>
      <c r="K4" s="19"/>
      <c r="L4" s="61"/>
      <c r="M4" s="61"/>
      <c r="N4" s="61"/>
      <c r="O4" s="61"/>
      <c r="P4" s="61"/>
      <c r="Q4" s="61"/>
      <c r="R4" s="61"/>
    </row>
    <row r="5" spans="1:18" ht="35.25" customHeight="1" x14ac:dyDescent="0.2">
      <c r="A5" s="209" t="s">
        <v>140</v>
      </c>
      <c r="B5" s="220" t="s">
        <v>114</v>
      </c>
      <c r="C5" s="221"/>
      <c r="D5" s="221"/>
      <c r="E5" s="221"/>
      <c r="F5" s="222"/>
      <c r="G5" s="220" t="s">
        <v>81</v>
      </c>
      <c r="H5" s="221"/>
      <c r="I5" s="221"/>
      <c r="J5" s="221"/>
      <c r="K5" s="222"/>
      <c r="L5" s="220" t="s">
        <v>78</v>
      </c>
      <c r="M5" s="221"/>
      <c r="N5" s="221"/>
      <c r="O5" s="221"/>
      <c r="P5" s="222"/>
      <c r="Q5" s="108"/>
      <c r="R5" s="108"/>
    </row>
    <row r="6" spans="1:18" s="9" customFormat="1" ht="35.25" customHeight="1" x14ac:dyDescent="0.2">
      <c r="A6" s="209"/>
      <c r="B6" s="99" t="s">
        <v>107</v>
      </c>
      <c r="C6" s="99" t="s">
        <v>108</v>
      </c>
      <c r="D6" s="169" t="s">
        <v>111</v>
      </c>
      <c r="E6" s="169" t="s">
        <v>138</v>
      </c>
      <c r="F6" s="169" t="s">
        <v>141</v>
      </c>
      <c r="G6" s="99" t="s">
        <v>107</v>
      </c>
      <c r="H6" s="99" t="s">
        <v>108</v>
      </c>
      <c r="I6" s="169" t="s">
        <v>111</v>
      </c>
      <c r="J6" s="169" t="s">
        <v>138</v>
      </c>
      <c r="K6" s="169" t="s">
        <v>141</v>
      </c>
      <c r="L6" s="99" t="s">
        <v>107</v>
      </c>
      <c r="M6" s="99" t="s">
        <v>108</v>
      </c>
      <c r="N6" s="169" t="s">
        <v>111</v>
      </c>
      <c r="O6" s="169" t="s">
        <v>138</v>
      </c>
      <c r="P6" s="169" t="s">
        <v>141</v>
      </c>
      <c r="Q6" s="108"/>
      <c r="R6" s="108"/>
    </row>
    <row r="7" spans="1:18" ht="35.25" customHeight="1" x14ac:dyDescent="0.2">
      <c r="A7" s="174" t="s">
        <v>1</v>
      </c>
      <c r="B7" s="78">
        <v>7</v>
      </c>
      <c r="C7" s="78">
        <v>6</v>
      </c>
      <c r="D7" s="63">
        <v>6</v>
      </c>
      <c r="E7" s="63">
        <v>6</v>
      </c>
      <c r="F7" s="63">
        <v>4</v>
      </c>
      <c r="G7" s="78">
        <v>3</v>
      </c>
      <c r="H7" s="78">
        <v>2</v>
      </c>
      <c r="I7" s="78">
        <v>2.4780000000000002</v>
      </c>
      <c r="J7" s="78">
        <v>1.9079999999999999</v>
      </c>
      <c r="K7" s="78">
        <v>1.3240000000000001</v>
      </c>
      <c r="L7" s="83">
        <f t="shared" ref="L7:L22" si="0">G7/B7*1000</f>
        <v>428.57142857142856</v>
      </c>
      <c r="M7" s="83">
        <f t="shared" ref="M7:M22" si="1">H7/C7*1000</f>
        <v>333.33333333333331</v>
      </c>
      <c r="N7" s="83">
        <f t="shared" ref="N7:N22" si="2">I7/D7*1000</f>
        <v>413.00000000000006</v>
      </c>
      <c r="O7" s="83">
        <f t="shared" ref="O7:P22" si="3">J7/E7*1000</f>
        <v>318</v>
      </c>
      <c r="P7" s="83">
        <f t="shared" si="3"/>
        <v>331</v>
      </c>
      <c r="Q7" s="139"/>
      <c r="R7" s="139"/>
    </row>
    <row r="8" spans="1:18" ht="35.25" customHeight="1" x14ac:dyDescent="0.2">
      <c r="A8" s="174" t="s">
        <v>32</v>
      </c>
      <c r="B8" s="78">
        <v>0</v>
      </c>
      <c r="C8" s="78">
        <v>0.189</v>
      </c>
      <c r="D8" s="63">
        <v>0.19700000000000001</v>
      </c>
      <c r="E8" s="95">
        <v>0</v>
      </c>
      <c r="F8" s="95">
        <v>0.19700000000000001</v>
      </c>
      <c r="G8" s="78">
        <v>0</v>
      </c>
      <c r="H8" s="78">
        <v>0.188</v>
      </c>
      <c r="I8" s="78">
        <v>0.19700000000000001</v>
      </c>
      <c r="J8" s="78">
        <v>0</v>
      </c>
      <c r="K8" s="78">
        <v>0.19700000000000001</v>
      </c>
      <c r="L8" s="83" t="e">
        <f t="shared" si="0"/>
        <v>#DIV/0!</v>
      </c>
      <c r="M8" s="83">
        <f t="shared" si="1"/>
        <v>994.70899470899462</v>
      </c>
      <c r="N8" s="83">
        <f t="shared" si="2"/>
        <v>1000</v>
      </c>
      <c r="O8" s="83" t="e">
        <f t="shared" si="3"/>
        <v>#DIV/0!</v>
      </c>
      <c r="P8" s="83">
        <f t="shared" si="3"/>
        <v>1000</v>
      </c>
      <c r="Q8" s="139"/>
      <c r="R8" s="139"/>
    </row>
    <row r="9" spans="1:18" ht="35.25" customHeight="1" x14ac:dyDescent="0.2">
      <c r="A9" s="174" t="s">
        <v>28</v>
      </c>
      <c r="B9" s="78">
        <v>6.5339999999999998</v>
      </c>
      <c r="C9" s="78">
        <v>5.9749999999999996</v>
      </c>
      <c r="D9" s="63">
        <v>5.968</v>
      </c>
      <c r="E9" s="63">
        <v>5.6740000000000004</v>
      </c>
      <c r="F9" s="63">
        <v>5.7149999999999999</v>
      </c>
      <c r="G9" s="78">
        <v>3.9489999999999998</v>
      </c>
      <c r="H9" s="78">
        <v>3.3149999999999999</v>
      </c>
      <c r="I9" s="78">
        <v>3.3659519999999996</v>
      </c>
      <c r="J9" s="78">
        <v>3.1207000000000003</v>
      </c>
      <c r="K9" s="78">
        <v>3.1889699999999999</v>
      </c>
      <c r="L9" s="83">
        <f t="shared" si="0"/>
        <v>604.37710437710439</v>
      </c>
      <c r="M9" s="83">
        <f t="shared" si="1"/>
        <v>554.81171548117163</v>
      </c>
      <c r="N9" s="83">
        <f t="shared" si="2"/>
        <v>564</v>
      </c>
      <c r="O9" s="83">
        <f t="shared" si="3"/>
        <v>550</v>
      </c>
      <c r="P9" s="83">
        <f t="shared" si="3"/>
        <v>557.99999999999989</v>
      </c>
      <c r="Q9" s="139"/>
      <c r="R9" s="139"/>
    </row>
    <row r="10" spans="1:18" ht="35.25" customHeight="1" x14ac:dyDescent="0.2">
      <c r="A10" s="174" t="s">
        <v>6</v>
      </c>
      <c r="B10" s="78">
        <v>61.4</v>
      </c>
      <c r="C10" s="78">
        <v>65.3</v>
      </c>
      <c r="D10" s="63">
        <v>55.67</v>
      </c>
      <c r="E10" s="63">
        <v>55.72</v>
      </c>
      <c r="F10" s="63">
        <v>51.03</v>
      </c>
      <c r="G10" s="78">
        <v>9.8000000000000007</v>
      </c>
      <c r="H10" s="78">
        <v>12.2</v>
      </c>
      <c r="I10" s="78">
        <v>10.465960000000001</v>
      </c>
      <c r="J10" s="78">
        <v>10.69824</v>
      </c>
      <c r="K10" s="78">
        <v>9.6957000000000004</v>
      </c>
      <c r="L10" s="83">
        <f t="shared" si="0"/>
        <v>159.60912052117266</v>
      </c>
      <c r="M10" s="83">
        <f t="shared" si="1"/>
        <v>186.83001531393566</v>
      </c>
      <c r="N10" s="83">
        <f t="shared" si="2"/>
        <v>188</v>
      </c>
      <c r="O10" s="83">
        <f t="shared" si="3"/>
        <v>192</v>
      </c>
      <c r="P10" s="83">
        <f t="shared" si="3"/>
        <v>190</v>
      </c>
      <c r="Q10" s="139"/>
      <c r="R10" s="139"/>
    </row>
    <row r="11" spans="1:18" ht="35.25" customHeight="1" x14ac:dyDescent="0.2">
      <c r="A11" s="171" t="s">
        <v>8</v>
      </c>
      <c r="B11" s="78">
        <v>6</v>
      </c>
      <c r="C11" s="78">
        <v>5</v>
      </c>
      <c r="D11" s="63">
        <v>4</v>
      </c>
      <c r="E11" s="63">
        <v>0.01</v>
      </c>
      <c r="F11" s="63">
        <v>2.98</v>
      </c>
      <c r="G11" s="78">
        <v>3</v>
      </c>
      <c r="H11" s="78">
        <v>3</v>
      </c>
      <c r="I11" s="78">
        <v>2</v>
      </c>
      <c r="J11" s="78">
        <v>1.6E-2</v>
      </c>
      <c r="K11" s="78">
        <v>1.341</v>
      </c>
      <c r="L11" s="83">
        <f t="shared" si="0"/>
        <v>500</v>
      </c>
      <c r="M11" s="83">
        <f t="shared" si="1"/>
        <v>600</v>
      </c>
      <c r="N11" s="83">
        <f t="shared" si="2"/>
        <v>500</v>
      </c>
      <c r="O11" s="83">
        <f t="shared" si="3"/>
        <v>1600</v>
      </c>
      <c r="P11" s="83">
        <f t="shared" si="3"/>
        <v>450</v>
      </c>
      <c r="Q11" s="139"/>
      <c r="R11" s="139"/>
    </row>
    <row r="12" spans="1:18" ht="35.25" customHeight="1" x14ac:dyDescent="0.2">
      <c r="A12" s="171" t="s">
        <v>41</v>
      </c>
      <c r="B12" s="78">
        <v>0</v>
      </c>
      <c r="C12" s="78">
        <v>1.234</v>
      </c>
      <c r="D12" s="63">
        <v>0</v>
      </c>
      <c r="E12" s="63"/>
      <c r="F12" s="63"/>
      <c r="G12" s="78">
        <v>0</v>
      </c>
      <c r="H12" s="85">
        <v>0.95799999999999996</v>
      </c>
      <c r="I12" s="78">
        <v>0</v>
      </c>
      <c r="J12" s="78">
        <v>0</v>
      </c>
      <c r="K12" s="78"/>
      <c r="L12" s="83" t="e">
        <f t="shared" si="0"/>
        <v>#DIV/0!</v>
      </c>
      <c r="M12" s="83">
        <f t="shared" si="1"/>
        <v>776.33711507293356</v>
      </c>
      <c r="N12" s="83" t="e">
        <f t="shared" si="2"/>
        <v>#DIV/0!</v>
      </c>
      <c r="O12" s="83" t="e">
        <f t="shared" si="3"/>
        <v>#DIV/0!</v>
      </c>
      <c r="P12" s="83" t="e">
        <f t="shared" si="3"/>
        <v>#DIV/0!</v>
      </c>
      <c r="Q12" s="139"/>
      <c r="R12" s="139"/>
    </row>
    <row r="13" spans="1:18" ht="35.25" customHeight="1" x14ac:dyDescent="0.2">
      <c r="A13" s="174" t="s">
        <v>30</v>
      </c>
      <c r="B13" s="78">
        <v>3.6030000000000002</v>
      </c>
      <c r="C13" s="78">
        <v>10.701000000000001</v>
      </c>
      <c r="D13" s="63">
        <v>4.9429999999999996</v>
      </c>
      <c r="E13" s="63">
        <v>4.7430000000000003</v>
      </c>
      <c r="F13" s="63">
        <v>3.117</v>
      </c>
      <c r="G13" s="78">
        <v>1.8740000000000001</v>
      </c>
      <c r="H13" s="78">
        <v>7.5010000000000003</v>
      </c>
      <c r="I13" s="78">
        <v>2.8026809999999998</v>
      </c>
      <c r="J13" s="78">
        <v>2.599164</v>
      </c>
      <c r="K13" s="78">
        <v>1.4961600000000002</v>
      </c>
      <c r="L13" s="83">
        <f t="shared" si="0"/>
        <v>520.12212045517629</v>
      </c>
      <c r="M13" s="83">
        <f t="shared" si="1"/>
        <v>700.96252686664798</v>
      </c>
      <c r="N13" s="83">
        <f t="shared" si="2"/>
        <v>567</v>
      </c>
      <c r="O13" s="83">
        <f t="shared" si="3"/>
        <v>547.99999999999989</v>
      </c>
      <c r="P13" s="83">
        <f t="shared" si="3"/>
        <v>480.00000000000006</v>
      </c>
      <c r="Q13" s="139"/>
      <c r="R13" s="139"/>
    </row>
    <row r="14" spans="1:18" ht="35.25" customHeight="1" x14ac:dyDescent="0.2">
      <c r="A14" s="174" t="s">
        <v>11</v>
      </c>
      <c r="B14" s="78">
        <v>7</v>
      </c>
      <c r="C14" s="78">
        <v>6</v>
      </c>
      <c r="D14" s="63">
        <v>4</v>
      </c>
      <c r="E14" s="63">
        <v>0.99</v>
      </c>
      <c r="F14" s="63">
        <v>1</v>
      </c>
      <c r="G14" s="78">
        <v>2</v>
      </c>
      <c r="H14" s="78">
        <v>1</v>
      </c>
      <c r="I14" s="78">
        <v>0.872</v>
      </c>
      <c r="J14" s="78">
        <v>0.19800000000000001</v>
      </c>
      <c r="K14" s="78">
        <v>0.248</v>
      </c>
      <c r="L14" s="83">
        <f t="shared" si="0"/>
        <v>285.71428571428572</v>
      </c>
      <c r="M14" s="83">
        <f t="shared" si="1"/>
        <v>166.66666666666666</v>
      </c>
      <c r="N14" s="83">
        <f t="shared" si="2"/>
        <v>218</v>
      </c>
      <c r="O14" s="83">
        <f t="shared" si="3"/>
        <v>200</v>
      </c>
      <c r="P14" s="83">
        <f t="shared" si="3"/>
        <v>248</v>
      </c>
      <c r="Q14" s="139"/>
      <c r="R14" s="139"/>
    </row>
    <row r="15" spans="1:18" ht="35.25" customHeight="1" x14ac:dyDescent="0.2">
      <c r="A15" s="174" t="s">
        <v>13</v>
      </c>
      <c r="B15" s="78">
        <v>80</v>
      </c>
      <c r="C15" s="78">
        <v>74</v>
      </c>
      <c r="D15" s="63">
        <v>61</v>
      </c>
      <c r="E15" s="63">
        <v>18</v>
      </c>
      <c r="F15" s="63">
        <v>6</v>
      </c>
      <c r="G15" s="78">
        <v>23</v>
      </c>
      <c r="H15" s="78">
        <v>27</v>
      </c>
      <c r="I15" s="78">
        <v>20.999999999999996</v>
      </c>
      <c r="J15" s="78">
        <v>5.4</v>
      </c>
      <c r="K15" s="78">
        <v>1.998</v>
      </c>
      <c r="L15" s="83">
        <f t="shared" si="0"/>
        <v>287.5</v>
      </c>
      <c r="M15" s="83">
        <f t="shared" si="1"/>
        <v>364.86486486486484</v>
      </c>
      <c r="N15" s="83">
        <f t="shared" si="2"/>
        <v>344.26229508196712</v>
      </c>
      <c r="O15" s="83">
        <f t="shared" si="3"/>
        <v>300.00000000000006</v>
      </c>
      <c r="P15" s="83">
        <f t="shared" si="3"/>
        <v>333</v>
      </c>
      <c r="Q15" s="139"/>
      <c r="R15" s="139"/>
    </row>
    <row r="16" spans="1:18" ht="35.25" customHeight="1" x14ac:dyDescent="0.2">
      <c r="A16" s="173" t="s">
        <v>14</v>
      </c>
      <c r="B16" s="78">
        <v>12</v>
      </c>
      <c r="C16" s="78">
        <v>14.1</v>
      </c>
      <c r="D16" s="63">
        <v>13</v>
      </c>
      <c r="E16" s="63">
        <v>10.9</v>
      </c>
      <c r="F16" s="63">
        <v>8.1300000000000008</v>
      </c>
      <c r="G16" s="78">
        <v>2</v>
      </c>
      <c r="H16" s="78">
        <v>2.2999999999999998</v>
      </c>
      <c r="I16" s="78">
        <v>2.0670000000000002</v>
      </c>
      <c r="J16" s="78">
        <v>1.33416</v>
      </c>
      <c r="K16" s="78">
        <v>1.6260000000000003</v>
      </c>
      <c r="L16" s="83">
        <f t="shared" si="0"/>
        <v>166.66666666666666</v>
      </c>
      <c r="M16" s="83">
        <f t="shared" si="1"/>
        <v>163.12056737588651</v>
      </c>
      <c r="N16" s="83">
        <f t="shared" si="2"/>
        <v>159</v>
      </c>
      <c r="O16" s="83">
        <f t="shared" si="3"/>
        <v>122.39999999999999</v>
      </c>
      <c r="P16" s="83">
        <f t="shared" si="3"/>
        <v>200</v>
      </c>
      <c r="Q16" s="139"/>
      <c r="R16" s="139"/>
    </row>
    <row r="17" spans="1:18" ht="35.25" customHeight="1" x14ac:dyDescent="0.2">
      <c r="A17" s="172" t="s">
        <v>105</v>
      </c>
      <c r="B17" s="78">
        <f>60.91+3.02</f>
        <v>63.93</v>
      </c>
      <c r="C17" s="78">
        <v>63.75</v>
      </c>
      <c r="D17" s="63">
        <v>59.2</v>
      </c>
      <c r="E17" s="63">
        <v>53.18</v>
      </c>
      <c r="F17" s="63">
        <v>53.04</v>
      </c>
      <c r="G17" s="78">
        <v>22.55</v>
      </c>
      <c r="H17" s="78">
        <v>22.66</v>
      </c>
      <c r="I17" s="78">
        <v>21.785600000000002</v>
      </c>
      <c r="J17" s="78">
        <v>19.517060000000001</v>
      </c>
      <c r="K17" s="78">
        <v>19.67784</v>
      </c>
      <c r="L17" s="83">
        <f t="shared" si="0"/>
        <v>352.7295479430627</v>
      </c>
      <c r="M17" s="83">
        <f t="shared" si="1"/>
        <v>355.45098039215691</v>
      </c>
      <c r="N17" s="83">
        <f t="shared" si="2"/>
        <v>368</v>
      </c>
      <c r="O17" s="83">
        <f t="shared" si="3"/>
        <v>367</v>
      </c>
      <c r="P17" s="83">
        <f t="shared" si="3"/>
        <v>371</v>
      </c>
      <c r="Q17" s="139"/>
      <c r="R17" s="139"/>
    </row>
    <row r="18" spans="1:18" ht="35.25" hidden="1" customHeight="1" x14ac:dyDescent="0.2">
      <c r="A18" s="172" t="s">
        <v>19</v>
      </c>
      <c r="B18" s="86"/>
      <c r="C18" s="78">
        <v>0</v>
      </c>
      <c r="D18" s="78">
        <v>0</v>
      </c>
      <c r="E18" s="78"/>
      <c r="F18" s="78"/>
      <c r="G18" s="86"/>
      <c r="H18" s="78">
        <v>0</v>
      </c>
      <c r="I18" s="78">
        <v>0</v>
      </c>
      <c r="J18" s="78">
        <v>0</v>
      </c>
      <c r="K18" s="78">
        <v>0</v>
      </c>
      <c r="L18" s="83" t="e">
        <f t="shared" si="0"/>
        <v>#DIV/0!</v>
      </c>
      <c r="M18" s="83" t="e">
        <f t="shared" si="1"/>
        <v>#DIV/0!</v>
      </c>
      <c r="N18" s="83" t="e">
        <f t="shared" si="2"/>
        <v>#DIV/0!</v>
      </c>
      <c r="O18" s="83" t="e">
        <f t="shared" si="3"/>
        <v>#DIV/0!</v>
      </c>
      <c r="P18" s="83" t="e">
        <f t="shared" si="3"/>
        <v>#DIV/0!</v>
      </c>
      <c r="Q18" s="139"/>
      <c r="R18" s="139"/>
    </row>
    <row r="19" spans="1:18" ht="35.25" hidden="1" customHeight="1" x14ac:dyDescent="0.2">
      <c r="A19" s="172" t="s">
        <v>103</v>
      </c>
      <c r="B19" s="78">
        <v>0</v>
      </c>
      <c r="C19" s="78">
        <v>0</v>
      </c>
      <c r="D19" s="78">
        <v>0</v>
      </c>
      <c r="E19" s="78"/>
      <c r="F19" s="78"/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83" t="e">
        <f t="shared" si="0"/>
        <v>#DIV/0!</v>
      </c>
      <c r="M19" s="83" t="e">
        <f t="shared" si="1"/>
        <v>#DIV/0!</v>
      </c>
      <c r="N19" s="83" t="e">
        <f t="shared" si="2"/>
        <v>#DIV/0!</v>
      </c>
      <c r="O19" s="83" t="e">
        <f t="shared" si="3"/>
        <v>#DIV/0!</v>
      </c>
      <c r="P19" s="83" t="e">
        <f t="shared" si="3"/>
        <v>#DIV/0!</v>
      </c>
      <c r="Q19" s="139"/>
      <c r="R19" s="139"/>
    </row>
    <row r="20" spans="1:18" ht="35.25" customHeight="1" x14ac:dyDescent="0.2">
      <c r="A20" s="174" t="s">
        <v>23</v>
      </c>
      <c r="B20" s="78">
        <v>4.2</v>
      </c>
      <c r="C20" s="78">
        <v>4.1340000000000003</v>
      </c>
      <c r="D20" s="63">
        <v>4.5</v>
      </c>
      <c r="E20" s="63">
        <v>1.1839999999999999</v>
      </c>
      <c r="F20" s="63">
        <v>1.0049999999999999</v>
      </c>
      <c r="G20" s="78">
        <v>3.1</v>
      </c>
      <c r="H20" s="78">
        <v>3.0089999999999999</v>
      </c>
      <c r="I20" s="78">
        <v>3.15</v>
      </c>
      <c r="J20" s="78">
        <v>0.59318399999999993</v>
      </c>
      <c r="K20" s="78">
        <v>0.51857999999999993</v>
      </c>
      <c r="L20" s="83">
        <f t="shared" si="0"/>
        <v>738.09523809523819</v>
      </c>
      <c r="M20" s="83">
        <f t="shared" si="1"/>
        <v>727.86647314949198</v>
      </c>
      <c r="N20" s="83">
        <f t="shared" si="2"/>
        <v>700</v>
      </c>
      <c r="O20" s="83">
        <f t="shared" si="3"/>
        <v>501</v>
      </c>
      <c r="P20" s="83">
        <f t="shared" si="3"/>
        <v>516</v>
      </c>
      <c r="Q20" s="139"/>
      <c r="R20" s="139"/>
    </row>
    <row r="21" spans="1:18" ht="35.25" customHeight="1" x14ac:dyDescent="0.2">
      <c r="A21" s="174" t="s">
        <v>31</v>
      </c>
      <c r="B21" s="78">
        <v>0</v>
      </c>
      <c r="C21" s="78">
        <v>0.03</v>
      </c>
      <c r="D21" s="63">
        <v>3.0000000000000001E-3</v>
      </c>
      <c r="E21" s="63">
        <v>0.06</v>
      </c>
      <c r="F21" s="63">
        <v>0.03</v>
      </c>
      <c r="G21" s="78">
        <v>0</v>
      </c>
      <c r="H21" s="85">
        <v>1.0999999999999999E-2</v>
      </c>
      <c r="I21" s="78">
        <v>1.0500000000000002E-3</v>
      </c>
      <c r="J21" s="78">
        <v>3.3000000000000002E-2</v>
      </c>
      <c r="K21" s="78">
        <v>1.0500000000000001E-2</v>
      </c>
      <c r="L21" s="83" t="e">
        <f t="shared" si="0"/>
        <v>#DIV/0!</v>
      </c>
      <c r="M21" s="83">
        <f t="shared" si="1"/>
        <v>366.66666666666663</v>
      </c>
      <c r="N21" s="83">
        <f t="shared" si="2"/>
        <v>350.00000000000006</v>
      </c>
      <c r="O21" s="83">
        <f t="shared" si="3"/>
        <v>550</v>
      </c>
      <c r="P21" s="83">
        <f t="shared" si="3"/>
        <v>350.00000000000006</v>
      </c>
      <c r="Q21" s="139"/>
      <c r="R21" s="139"/>
    </row>
    <row r="22" spans="1:18" s="18" customFormat="1" ht="35.25" customHeight="1" x14ac:dyDescent="0.2">
      <c r="A22" s="174" t="s">
        <v>24</v>
      </c>
      <c r="B22" s="80">
        <f t="shared" ref="B22:K22" si="4">SUM(B7:B21)</f>
        <v>251.66699999999997</v>
      </c>
      <c r="C22" s="80">
        <f t="shared" si="4"/>
        <v>256.41299999999995</v>
      </c>
      <c r="D22" s="80">
        <f t="shared" si="4"/>
        <v>218.48099999999999</v>
      </c>
      <c r="E22" s="80">
        <f>SUM(E7:E21)</f>
        <v>156.46100000000001</v>
      </c>
      <c r="F22" s="80">
        <f>SUM(F7:F21)</f>
        <v>136.244</v>
      </c>
      <c r="G22" s="80">
        <f t="shared" si="4"/>
        <v>74.272999999999996</v>
      </c>
      <c r="H22" s="80">
        <f t="shared" si="4"/>
        <v>85.141999999999996</v>
      </c>
      <c r="I22" s="80">
        <f t="shared" si="4"/>
        <v>70.185243</v>
      </c>
      <c r="J22" s="80">
        <f t="shared" si="4"/>
        <v>45.417508000000005</v>
      </c>
      <c r="K22" s="80">
        <f t="shared" si="4"/>
        <v>41.321750000000002</v>
      </c>
      <c r="L22" s="84">
        <f t="shared" si="0"/>
        <v>295.12411241839413</v>
      </c>
      <c r="M22" s="84">
        <f t="shared" si="1"/>
        <v>332.05024706235645</v>
      </c>
      <c r="N22" s="84">
        <f t="shared" si="2"/>
        <v>321.24186084831172</v>
      </c>
      <c r="O22" s="84">
        <f t="shared" si="3"/>
        <v>290.28005701101233</v>
      </c>
      <c r="P22" s="84">
        <f t="shared" si="3"/>
        <v>303.29225507178296</v>
      </c>
      <c r="Q22" s="141"/>
      <c r="R22" s="141"/>
    </row>
    <row r="23" spans="1:18" x14ac:dyDescent="0.2">
      <c r="A23" s="38"/>
    </row>
    <row r="24" spans="1:18" x14ac:dyDescent="0.2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8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32" spans="1:18" x14ac:dyDescent="0.2">
      <c r="L32" s="129"/>
      <c r="M32" s="129"/>
      <c r="N32" s="129"/>
      <c r="O32" s="129"/>
    </row>
  </sheetData>
  <mergeCells count="5">
    <mergeCell ref="A5:A6"/>
    <mergeCell ref="A3:M3"/>
    <mergeCell ref="B5:F5"/>
    <mergeCell ref="L5:P5"/>
    <mergeCell ref="G5:K5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45"/>
  <sheetViews>
    <sheetView view="pageBreakPreview" topLeftCell="A20" zoomScale="60" zoomScaleNormal="60" workbookViewId="0">
      <selection activeCell="B34" sqref="B34:K35"/>
    </sheetView>
  </sheetViews>
  <sheetFormatPr defaultRowHeight="18" x14ac:dyDescent="0.2"/>
  <cols>
    <col min="1" max="1" width="26.7109375" style="13" customWidth="1"/>
    <col min="2" max="3" width="12.5703125" style="13" customWidth="1"/>
    <col min="4" max="6" width="14.42578125" style="13" customWidth="1"/>
    <col min="7" max="7" width="14" style="9" bestFit="1" customWidth="1"/>
    <col min="8" max="11" width="14" style="9" customWidth="1"/>
    <col min="12" max="16" width="13.28515625" style="13" customWidth="1"/>
    <col min="17" max="18" width="13.28515625" style="144" customWidth="1"/>
    <col min="19" max="16384" width="9.140625" style="13"/>
  </cols>
  <sheetData>
    <row r="1" spans="1:21" x14ac:dyDescent="0.2">
      <c r="S1" s="144"/>
    </row>
    <row r="2" spans="1:21" x14ac:dyDescent="0.2">
      <c r="S2" s="11"/>
    </row>
    <row r="3" spans="1:21" ht="21" customHeight="1" x14ac:dyDescent="0.2">
      <c r="A3" s="229" t="s">
        <v>130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S3" s="144"/>
    </row>
    <row r="4" spans="1:21" ht="21.75" customHeight="1" x14ac:dyDescent="0.2">
      <c r="A4" s="12"/>
      <c r="B4" s="12"/>
      <c r="C4" s="12"/>
      <c r="D4" s="12"/>
      <c r="E4" s="12"/>
      <c r="F4" s="12"/>
      <c r="G4" s="42"/>
      <c r="H4" s="42"/>
      <c r="I4" s="42"/>
      <c r="J4" s="42"/>
      <c r="K4" s="42"/>
      <c r="S4" s="144"/>
    </row>
    <row r="5" spans="1:21" ht="33.75" customHeight="1" x14ac:dyDescent="0.2">
      <c r="A5" s="209" t="s">
        <v>140</v>
      </c>
      <c r="B5" s="213" t="s">
        <v>114</v>
      </c>
      <c r="C5" s="213"/>
      <c r="D5" s="213"/>
      <c r="E5" s="213"/>
      <c r="F5" s="213"/>
      <c r="G5" s="213" t="s">
        <v>81</v>
      </c>
      <c r="H5" s="213"/>
      <c r="I5" s="213"/>
      <c r="J5" s="213"/>
      <c r="K5" s="213"/>
      <c r="L5" s="213" t="s">
        <v>78</v>
      </c>
      <c r="M5" s="213"/>
      <c r="N5" s="213"/>
      <c r="O5" s="213"/>
      <c r="P5" s="213"/>
      <c r="Q5" s="145"/>
      <c r="R5" s="108"/>
      <c r="S5" s="144"/>
    </row>
    <row r="6" spans="1:21" s="15" customFormat="1" ht="33.75" customHeight="1" x14ac:dyDescent="0.2">
      <c r="A6" s="209"/>
      <c r="B6" s="183" t="s">
        <v>107</v>
      </c>
      <c r="C6" s="183" t="s">
        <v>108</v>
      </c>
      <c r="D6" s="183" t="s">
        <v>111</v>
      </c>
      <c r="E6" s="183" t="s">
        <v>138</v>
      </c>
      <c r="F6" s="183" t="s">
        <v>141</v>
      </c>
      <c r="G6" s="183" t="s">
        <v>107</v>
      </c>
      <c r="H6" s="183" t="s">
        <v>108</v>
      </c>
      <c r="I6" s="183" t="s">
        <v>111</v>
      </c>
      <c r="J6" s="183" t="s">
        <v>138</v>
      </c>
      <c r="K6" s="183" t="s">
        <v>141</v>
      </c>
      <c r="L6" s="183" t="s">
        <v>107</v>
      </c>
      <c r="M6" s="183" t="s">
        <v>108</v>
      </c>
      <c r="N6" s="183" t="s">
        <v>111</v>
      </c>
      <c r="O6" s="183" t="s">
        <v>138</v>
      </c>
      <c r="P6" s="183" t="s">
        <v>141</v>
      </c>
      <c r="Q6" s="145"/>
      <c r="R6" s="108"/>
      <c r="S6" s="205"/>
    </row>
    <row r="7" spans="1:21" ht="27" customHeight="1" x14ac:dyDescent="0.2">
      <c r="A7" s="184" t="s">
        <v>1</v>
      </c>
      <c r="B7" s="78">
        <v>1</v>
      </c>
      <c r="C7" s="78">
        <v>2</v>
      </c>
      <c r="D7" s="63">
        <v>0.52900000000000003</v>
      </c>
      <c r="E7" s="63">
        <v>1</v>
      </c>
      <c r="F7" s="78">
        <v>1</v>
      </c>
      <c r="G7" s="78">
        <v>2</v>
      </c>
      <c r="H7" s="78">
        <v>3.2240000000000002</v>
      </c>
      <c r="I7" s="78">
        <v>0.99928100000000009</v>
      </c>
      <c r="J7" s="78">
        <v>1.9259999999999999</v>
      </c>
      <c r="K7" s="78">
        <v>1.7470000000000001</v>
      </c>
      <c r="L7" s="83">
        <f t="shared" ref="L7:L30" si="0">G7/B7*1000</f>
        <v>2000</v>
      </c>
      <c r="M7" s="83">
        <f t="shared" ref="M7:M30" si="1">H7/C7*1000</f>
        <v>1612</v>
      </c>
      <c r="N7" s="83">
        <f t="shared" ref="N7:N30" si="2">I7/D7*1000</f>
        <v>1889</v>
      </c>
      <c r="O7" s="83">
        <f t="shared" ref="O7:P30" si="3">J7/E7*1000</f>
        <v>1926</v>
      </c>
      <c r="P7" s="83">
        <f t="shared" si="3"/>
        <v>1747</v>
      </c>
      <c r="Q7" s="147"/>
      <c r="R7" s="139"/>
      <c r="S7" s="144"/>
      <c r="U7" s="52"/>
    </row>
    <row r="8" spans="1:21" ht="27" customHeight="1" x14ac:dyDescent="0.2">
      <c r="A8" s="184" t="s">
        <v>32</v>
      </c>
      <c r="B8" s="78">
        <v>2.839</v>
      </c>
      <c r="C8" s="78">
        <v>3.0979999999999999</v>
      </c>
      <c r="D8" s="63">
        <v>3.129</v>
      </c>
      <c r="E8" s="63">
        <v>3.1320000000000001</v>
      </c>
      <c r="F8" s="78">
        <v>3.137</v>
      </c>
      <c r="G8" s="78">
        <v>2.8140000000000001</v>
      </c>
      <c r="H8" s="78">
        <v>4.3979999999999997</v>
      </c>
      <c r="I8" s="78">
        <v>4.4337929999999997</v>
      </c>
      <c r="J8" s="78">
        <v>4.4380439999999997</v>
      </c>
      <c r="K8" s="78">
        <v>4.4482659999999994</v>
      </c>
      <c r="L8" s="83">
        <f t="shared" si="0"/>
        <v>991.19408242338852</v>
      </c>
      <c r="M8" s="83">
        <f t="shared" si="1"/>
        <v>1419.6255648805679</v>
      </c>
      <c r="N8" s="83">
        <f t="shared" si="2"/>
        <v>1416.9999999999998</v>
      </c>
      <c r="O8" s="83">
        <f t="shared" si="3"/>
        <v>1416.9999999999998</v>
      </c>
      <c r="P8" s="83">
        <f t="shared" si="3"/>
        <v>1417.9999999999998</v>
      </c>
      <c r="Q8" s="147"/>
      <c r="R8" s="139"/>
      <c r="S8" s="144"/>
      <c r="U8" s="52"/>
    </row>
    <row r="9" spans="1:21" ht="27" customHeight="1" x14ac:dyDescent="0.2">
      <c r="A9" s="184" t="s">
        <v>40</v>
      </c>
      <c r="B9" s="78"/>
      <c r="C9" s="78"/>
      <c r="D9" s="63"/>
      <c r="E9" s="63"/>
      <c r="F9" s="78">
        <v>19.600000000000001</v>
      </c>
      <c r="G9" s="78"/>
      <c r="H9" s="78"/>
      <c r="I9" s="78"/>
      <c r="J9" s="78"/>
      <c r="K9" s="78">
        <v>14.778400000000001</v>
      </c>
      <c r="L9" s="83"/>
      <c r="M9" s="83"/>
      <c r="N9" s="83"/>
      <c r="O9" s="83"/>
      <c r="P9" s="83"/>
      <c r="Q9" s="147"/>
      <c r="R9" s="139"/>
      <c r="S9" s="144"/>
      <c r="U9" s="52"/>
    </row>
    <row r="10" spans="1:21" ht="27" customHeight="1" x14ac:dyDescent="0.2">
      <c r="A10" s="184" t="s">
        <v>6</v>
      </c>
      <c r="B10" s="78">
        <v>119.7</v>
      </c>
      <c r="C10" s="78">
        <v>104.1</v>
      </c>
      <c r="D10" s="63">
        <v>95.86</v>
      </c>
      <c r="E10" s="63">
        <v>93.44</v>
      </c>
      <c r="F10" s="78">
        <v>72.3</v>
      </c>
      <c r="G10" s="78">
        <v>69</v>
      </c>
      <c r="H10" s="78">
        <v>72.599999999999994</v>
      </c>
      <c r="I10" s="78">
        <v>46.108659999999993</v>
      </c>
      <c r="J10" s="78">
        <v>65.31456</v>
      </c>
      <c r="K10" s="78">
        <v>79.891499999999994</v>
      </c>
      <c r="L10" s="83">
        <f t="shared" si="0"/>
        <v>576.44110275689218</v>
      </c>
      <c r="M10" s="83">
        <f t="shared" si="1"/>
        <v>697.40634005763695</v>
      </c>
      <c r="N10" s="83">
        <f t="shared" si="2"/>
        <v>480.99999999999994</v>
      </c>
      <c r="O10" s="83">
        <f t="shared" si="3"/>
        <v>699.00000000000011</v>
      </c>
      <c r="P10" s="83">
        <f t="shared" si="3"/>
        <v>1105</v>
      </c>
      <c r="Q10" s="147"/>
      <c r="R10" s="139"/>
      <c r="S10" s="144"/>
      <c r="U10" s="52"/>
    </row>
    <row r="11" spans="1:21" ht="27" customHeight="1" x14ac:dyDescent="0.2">
      <c r="A11" s="184" t="s">
        <v>49</v>
      </c>
      <c r="B11" s="78">
        <v>80</v>
      </c>
      <c r="C11" s="78">
        <v>120</v>
      </c>
      <c r="D11" s="63">
        <v>146</v>
      </c>
      <c r="E11" s="63">
        <v>135.65</v>
      </c>
      <c r="F11" s="78">
        <v>100.62</v>
      </c>
      <c r="G11" s="78">
        <v>54</v>
      </c>
      <c r="H11" s="78">
        <v>86</v>
      </c>
      <c r="I11" s="78">
        <v>115.486</v>
      </c>
      <c r="J11" s="78">
        <v>173.08939999999998</v>
      </c>
      <c r="K11" s="78">
        <v>132.61716000000001</v>
      </c>
      <c r="L11" s="83">
        <f t="shared" si="0"/>
        <v>675</v>
      </c>
      <c r="M11" s="83">
        <f t="shared" si="1"/>
        <v>716.66666666666663</v>
      </c>
      <c r="N11" s="83">
        <f t="shared" si="2"/>
        <v>791</v>
      </c>
      <c r="O11" s="83">
        <f t="shared" si="3"/>
        <v>1275.9999999999998</v>
      </c>
      <c r="P11" s="83">
        <f t="shared" si="3"/>
        <v>1318</v>
      </c>
      <c r="Q11" s="147"/>
      <c r="R11" s="139"/>
      <c r="S11" s="144"/>
    </row>
    <row r="12" spans="1:21" ht="27" customHeight="1" x14ac:dyDescent="0.2">
      <c r="A12" s="184" t="s">
        <v>10</v>
      </c>
      <c r="B12" s="78">
        <v>0.55600000000000005</v>
      </c>
      <c r="C12" s="78">
        <v>0.60599999999999998</v>
      </c>
      <c r="D12" s="63">
        <v>0.55400000000000005</v>
      </c>
      <c r="E12" s="63">
        <v>0.55400000000000005</v>
      </c>
      <c r="F12" s="78">
        <v>0.55600000000000005</v>
      </c>
      <c r="G12" s="78">
        <v>0.93200000000000005</v>
      </c>
      <c r="H12" s="78">
        <v>0.59399999999999997</v>
      </c>
      <c r="I12" s="78">
        <v>0.92900000000000005</v>
      </c>
      <c r="J12" s="78">
        <v>0.93071999999999999</v>
      </c>
      <c r="K12" s="78">
        <v>0.95076000000000005</v>
      </c>
      <c r="L12" s="83">
        <f t="shared" si="0"/>
        <v>1676.2589928057555</v>
      </c>
      <c r="M12" s="83">
        <f t="shared" si="1"/>
        <v>980.19801980198019</v>
      </c>
      <c r="N12" s="83">
        <f t="shared" si="2"/>
        <v>1676.8953068592057</v>
      </c>
      <c r="O12" s="83">
        <f t="shared" si="3"/>
        <v>1680</v>
      </c>
      <c r="P12" s="83">
        <f t="shared" si="3"/>
        <v>1710</v>
      </c>
      <c r="Q12" s="147"/>
      <c r="R12" s="139"/>
      <c r="S12" s="144"/>
    </row>
    <row r="13" spans="1:21" ht="27" customHeight="1" x14ac:dyDescent="0.2">
      <c r="A13" s="184" t="s">
        <v>50</v>
      </c>
      <c r="B13" s="78">
        <v>0.5</v>
      </c>
      <c r="C13" s="78">
        <v>1.0429999999999999</v>
      </c>
      <c r="D13" s="63">
        <v>1.923</v>
      </c>
      <c r="E13" s="63">
        <v>6.0990000000000002</v>
      </c>
      <c r="F13" s="78">
        <v>1.1930000000000001</v>
      </c>
      <c r="G13" s="78">
        <v>0.46550000000000002</v>
      </c>
      <c r="H13" s="78">
        <v>0.60399999999999998</v>
      </c>
      <c r="I13" s="78">
        <v>1.5345540000000002</v>
      </c>
      <c r="J13" s="78">
        <v>4.5559530000000006</v>
      </c>
      <c r="K13" s="78">
        <v>1.0235940000000001</v>
      </c>
      <c r="L13" s="83">
        <f t="shared" si="0"/>
        <v>931</v>
      </c>
      <c r="M13" s="83">
        <f t="shared" si="1"/>
        <v>579.09875359539785</v>
      </c>
      <c r="N13" s="83">
        <f t="shared" si="2"/>
        <v>798</v>
      </c>
      <c r="O13" s="83">
        <f t="shared" si="3"/>
        <v>747.00000000000011</v>
      </c>
      <c r="P13" s="83">
        <f t="shared" si="3"/>
        <v>858.00000000000011</v>
      </c>
      <c r="Q13" s="147"/>
      <c r="R13" s="139"/>
      <c r="S13" s="144"/>
    </row>
    <row r="14" spans="1:21" ht="27" customHeight="1" x14ac:dyDescent="0.2">
      <c r="A14" s="184" t="s">
        <v>11</v>
      </c>
      <c r="B14" s="78">
        <v>258</v>
      </c>
      <c r="C14" s="78">
        <v>318</v>
      </c>
      <c r="D14" s="63">
        <v>277</v>
      </c>
      <c r="E14" s="63">
        <v>248.89999999999998</v>
      </c>
      <c r="F14" s="78">
        <v>320</v>
      </c>
      <c r="G14" s="78">
        <v>140</v>
      </c>
      <c r="H14" s="78">
        <v>237</v>
      </c>
      <c r="I14" s="78">
        <v>252.90100000000004</v>
      </c>
      <c r="J14" s="78">
        <v>257.36259999999999</v>
      </c>
      <c r="K14" s="78">
        <v>378.56</v>
      </c>
      <c r="L14" s="83">
        <f t="shared" si="0"/>
        <v>542.63565891472865</v>
      </c>
      <c r="M14" s="83">
        <f t="shared" si="1"/>
        <v>745.28301886792451</v>
      </c>
      <c r="N14" s="83">
        <f t="shared" si="2"/>
        <v>913.00000000000011</v>
      </c>
      <c r="O14" s="83">
        <f t="shared" si="3"/>
        <v>1034</v>
      </c>
      <c r="P14" s="83">
        <f t="shared" si="3"/>
        <v>1183</v>
      </c>
      <c r="Q14" s="147"/>
      <c r="R14" s="139"/>
      <c r="S14" s="144"/>
    </row>
    <row r="15" spans="1:21" ht="27" customHeight="1" x14ac:dyDescent="0.2">
      <c r="A15" s="184" t="s">
        <v>13</v>
      </c>
      <c r="B15" s="78">
        <v>5906</v>
      </c>
      <c r="C15" s="78">
        <v>5401</v>
      </c>
      <c r="D15" s="63">
        <v>5010</v>
      </c>
      <c r="E15" s="63">
        <v>5419</v>
      </c>
      <c r="F15" s="78">
        <v>6194</v>
      </c>
      <c r="G15" s="78">
        <v>4907.8860000000004</v>
      </c>
      <c r="H15" s="78">
        <v>6649</v>
      </c>
      <c r="I15" s="78">
        <v>5321</v>
      </c>
      <c r="J15" s="78">
        <v>6670.7889999999998</v>
      </c>
      <c r="K15" s="78">
        <v>4887.0659999999998</v>
      </c>
      <c r="L15" s="83">
        <f t="shared" si="0"/>
        <v>831.00000000000011</v>
      </c>
      <c r="M15" s="83">
        <f t="shared" si="1"/>
        <v>1231.0683206813553</v>
      </c>
      <c r="N15" s="83">
        <f t="shared" si="2"/>
        <v>1062.0758483033933</v>
      </c>
      <c r="O15" s="83">
        <f t="shared" si="3"/>
        <v>1230.9999999999998</v>
      </c>
      <c r="P15" s="83">
        <f t="shared" si="3"/>
        <v>788.99999999999989</v>
      </c>
      <c r="Q15" s="147"/>
      <c r="R15" s="139"/>
      <c r="S15" s="144"/>
    </row>
    <row r="16" spans="1:21" ht="27" customHeight="1" x14ac:dyDescent="0.2">
      <c r="A16" s="187" t="s">
        <v>14</v>
      </c>
      <c r="B16" s="78">
        <v>3702</v>
      </c>
      <c r="C16" s="78">
        <v>3840.8</v>
      </c>
      <c r="D16" s="63">
        <v>3694</v>
      </c>
      <c r="E16" s="63">
        <v>4075.2</v>
      </c>
      <c r="F16" s="78">
        <v>4124.01</v>
      </c>
      <c r="G16" s="78">
        <v>2061.0884999999998</v>
      </c>
      <c r="H16" s="78">
        <v>4586.7</v>
      </c>
      <c r="I16" s="78">
        <v>3804.82</v>
      </c>
      <c r="J16" s="78">
        <v>4611.0887999999995</v>
      </c>
      <c r="K16" s="78">
        <v>4825.0916999999999</v>
      </c>
      <c r="L16" s="83">
        <f t="shared" si="0"/>
        <v>556.75</v>
      </c>
      <c r="M16" s="83">
        <f t="shared" si="1"/>
        <v>1194.2043324307433</v>
      </c>
      <c r="N16" s="83">
        <f t="shared" si="2"/>
        <v>1030</v>
      </c>
      <c r="O16" s="83">
        <f t="shared" si="3"/>
        <v>1131.5</v>
      </c>
      <c r="P16" s="83">
        <f t="shared" si="3"/>
        <v>1170</v>
      </c>
      <c r="Q16" s="147"/>
      <c r="R16" s="139"/>
      <c r="S16" s="144"/>
    </row>
    <row r="17" spans="1:19" ht="27" customHeight="1" x14ac:dyDescent="0.2">
      <c r="A17" s="187" t="s">
        <v>36</v>
      </c>
      <c r="B17" s="78">
        <v>5.1100000000000003</v>
      </c>
      <c r="C17" s="78">
        <v>5.1100000000000003</v>
      </c>
      <c r="D17" s="63">
        <v>5.07</v>
      </c>
      <c r="E17" s="63">
        <v>4.9000000000000004</v>
      </c>
      <c r="F17" s="78">
        <v>4.17</v>
      </c>
      <c r="G17" s="78">
        <v>4.28</v>
      </c>
      <c r="H17" s="78">
        <v>4.38</v>
      </c>
      <c r="I17" s="78">
        <v>4.5984900000000009</v>
      </c>
      <c r="J17" s="78">
        <v>4.4051</v>
      </c>
      <c r="K17" s="78">
        <v>3.6278999999999999</v>
      </c>
      <c r="L17" s="83">
        <f t="shared" si="0"/>
        <v>837.57338551859095</v>
      </c>
      <c r="M17" s="83">
        <f t="shared" si="1"/>
        <v>857.14285714285711</v>
      </c>
      <c r="N17" s="83">
        <f t="shared" si="2"/>
        <v>907.00000000000011</v>
      </c>
      <c r="O17" s="83">
        <f t="shared" si="3"/>
        <v>898.99999999999989</v>
      </c>
      <c r="P17" s="83">
        <f t="shared" si="3"/>
        <v>870</v>
      </c>
      <c r="Q17" s="147"/>
      <c r="R17" s="139"/>
      <c r="S17" s="144"/>
    </row>
    <row r="18" spans="1:19" ht="27" customHeight="1" x14ac:dyDescent="0.2">
      <c r="A18" s="187" t="s">
        <v>37</v>
      </c>
      <c r="B18" s="78">
        <v>1.7350000000000001</v>
      </c>
      <c r="C18" s="78">
        <v>1.85</v>
      </c>
      <c r="D18" s="63">
        <v>1.857</v>
      </c>
      <c r="E18" s="63">
        <v>1.8680000000000001</v>
      </c>
      <c r="F18" s="78">
        <v>1.87</v>
      </c>
      <c r="G18" s="78">
        <v>3.4390000000000001</v>
      </c>
      <c r="H18" s="78">
        <v>3.5</v>
      </c>
      <c r="I18" s="78">
        <v>3.5245859999999998</v>
      </c>
      <c r="J18" s="78">
        <v>3.5492000000000004</v>
      </c>
      <c r="K18" s="78">
        <v>3.5642200000000002</v>
      </c>
      <c r="L18" s="83">
        <f t="shared" si="0"/>
        <v>1982.1325648414984</v>
      </c>
      <c r="M18" s="83">
        <f t="shared" si="1"/>
        <v>1891.8918918918919</v>
      </c>
      <c r="N18" s="83">
        <f t="shared" si="2"/>
        <v>1898</v>
      </c>
      <c r="O18" s="83">
        <f t="shared" si="3"/>
        <v>1900.0000000000002</v>
      </c>
      <c r="P18" s="83">
        <f t="shared" si="3"/>
        <v>1906</v>
      </c>
      <c r="Q18" s="147"/>
      <c r="R18" s="139"/>
      <c r="S18" s="144"/>
    </row>
    <row r="19" spans="1:19" ht="27" customHeight="1" x14ac:dyDescent="0.2">
      <c r="A19" s="187" t="s">
        <v>38</v>
      </c>
      <c r="B19" s="78">
        <v>1.048</v>
      </c>
      <c r="C19" s="78">
        <v>1.0189999999999999</v>
      </c>
      <c r="D19" s="63">
        <v>1.0083</v>
      </c>
      <c r="E19" s="63">
        <v>1.012</v>
      </c>
      <c r="F19" s="78">
        <v>1.121</v>
      </c>
      <c r="G19" s="78">
        <v>1.613</v>
      </c>
      <c r="H19" s="78">
        <v>1.6040000000000001</v>
      </c>
      <c r="I19" s="78">
        <v>1.5378000000000001</v>
      </c>
      <c r="J19" s="78">
        <v>1.752</v>
      </c>
      <c r="K19" s="78">
        <v>1.75</v>
      </c>
      <c r="L19" s="83">
        <f t="shared" si="0"/>
        <v>1539.1221374045801</v>
      </c>
      <c r="M19" s="83">
        <f t="shared" si="1"/>
        <v>1574.0922473012758</v>
      </c>
      <c r="N19" s="83">
        <f t="shared" si="2"/>
        <v>1525.1413269860161</v>
      </c>
      <c r="O19" s="83">
        <f t="shared" si="3"/>
        <v>1731.2252964426877</v>
      </c>
      <c r="P19" s="83">
        <f t="shared" si="3"/>
        <v>1561.1061552185547</v>
      </c>
      <c r="Q19" s="147"/>
      <c r="R19" s="139"/>
      <c r="S19" s="144"/>
    </row>
    <row r="20" spans="1:19" ht="27" customHeight="1" x14ac:dyDescent="0.2">
      <c r="A20" s="187" t="s">
        <v>15</v>
      </c>
      <c r="B20" s="78">
        <v>24.86</v>
      </c>
      <c r="C20" s="78">
        <v>24.98</v>
      </c>
      <c r="D20" s="63">
        <v>25.04</v>
      </c>
      <c r="E20" s="63">
        <v>25.11</v>
      </c>
      <c r="F20" s="78">
        <v>25.17</v>
      </c>
      <c r="G20" s="78">
        <v>31.17</v>
      </c>
      <c r="H20" s="78">
        <v>31.41</v>
      </c>
      <c r="I20" s="78">
        <v>31.525359999999999</v>
      </c>
      <c r="J20" s="78">
        <v>31.6386</v>
      </c>
      <c r="K20" s="78">
        <v>31.76454</v>
      </c>
      <c r="L20" s="83">
        <f t="shared" si="0"/>
        <v>1253.8213998390991</v>
      </c>
      <c r="M20" s="83">
        <f t="shared" si="1"/>
        <v>1257.4059247397918</v>
      </c>
      <c r="N20" s="83">
        <f t="shared" si="2"/>
        <v>1259.0000000000002</v>
      </c>
      <c r="O20" s="83">
        <f t="shared" si="3"/>
        <v>1260</v>
      </c>
      <c r="P20" s="83">
        <f t="shared" si="3"/>
        <v>1262</v>
      </c>
      <c r="Q20" s="147"/>
      <c r="R20" s="139"/>
      <c r="S20" s="144"/>
    </row>
    <row r="21" spans="1:19" ht="27" hidden="1" customHeight="1" x14ac:dyDescent="0.2">
      <c r="A21" s="187" t="s">
        <v>101</v>
      </c>
      <c r="B21" s="63">
        <v>0</v>
      </c>
      <c r="C21" s="63">
        <v>0</v>
      </c>
      <c r="D21" s="63">
        <v>0</v>
      </c>
      <c r="E21" s="63"/>
      <c r="F21" s="78"/>
      <c r="G21" s="63">
        <v>0</v>
      </c>
      <c r="H21" s="63">
        <v>0</v>
      </c>
      <c r="I21" s="78">
        <v>0</v>
      </c>
      <c r="J21" s="78">
        <v>0</v>
      </c>
      <c r="K21" s="78">
        <v>0</v>
      </c>
      <c r="L21" s="83" t="e">
        <f t="shared" si="0"/>
        <v>#DIV/0!</v>
      </c>
      <c r="M21" s="83" t="e">
        <f t="shared" si="1"/>
        <v>#DIV/0!</v>
      </c>
      <c r="N21" s="83" t="e">
        <f t="shared" si="2"/>
        <v>#DIV/0!</v>
      </c>
      <c r="O21" s="83" t="e">
        <f t="shared" si="3"/>
        <v>#DIV/0!</v>
      </c>
      <c r="P21" s="83" t="e">
        <f t="shared" si="3"/>
        <v>#DIV/0!</v>
      </c>
      <c r="Q21" s="147"/>
      <c r="R21" s="139"/>
      <c r="S21" s="144"/>
    </row>
    <row r="22" spans="1:19" ht="27" customHeight="1" x14ac:dyDescent="0.2">
      <c r="A22" s="184" t="s">
        <v>18</v>
      </c>
      <c r="B22" s="78">
        <v>1204.7729999999999</v>
      </c>
      <c r="C22" s="78">
        <v>1055.6099999999999</v>
      </c>
      <c r="D22" s="63">
        <v>886.48699999999997</v>
      </c>
      <c r="E22" s="63">
        <v>931.91300000000001</v>
      </c>
      <c r="F22" s="78">
        <v>1118.568</v>
      </c>
      <c r="G22" s="78">
        <v>998.75681699999996</v>
      </c>
      <c r="H22" s="78">
        <v>1131.8109999999999</v>
      </c>
      <c r="I22" s="78">
        <v>1069.9898089999999</v>
      </c>
      <c r="J22" s="78">
        <v>1168.6189019999999</v>
      </c>
      <c r="K22" s="78">
        <v>524.60839199999998</v>
      </c>
      <c r="L22" s="83">
        <f t="shared" si="0"/>
        <v>829.00000000000011</v>
      </c>
      <c r="M22" s="83">
        <f t="shared" si="1"/>
        <v>1072.1866977387483</v>
      </c>
      <c r="N22" s="83">
        <f t="shared" si="2"/>
        <v>1206.9999999999998</v>
      </c>
      <c r="O22" s="83">
        <f t="shared" si="3"/>
        <v>1254</v>
      </c>
      <c r="P22" s="83">
        <f t="shared" si="3"/>
        <v>469</v>
      </c>
      <c r="Q22" s="147"/>
      <c r="R22" s="139"/>
      <c r="S22" s="144"/>
    </row>
    <row r="23" spans="1:19" ht="27" customHeight="1" x14ac:dyDescent="0.2">
      <c r="A23" s="184" t="s">
        <v>42</v>
      </c>
      <c r="B23" s="78">
        <v>3.28</v>
      </c>
      <c r="C23" s="78">
        <v>3.28</v>
      </c>
      <c r="D23" s="63">
        <v>3.0710000000000002</v>
      </c>
      <c r="E23" s="63">
        <v>2.9620000000000002</v>
      </c>
      <c r="F23" s="78">
        <v>2.9289999999999998</v>
      </c>
      <c r="G23" s="78">
        <v>3.19</v>
      </c>
      <c r="H23" s="78">
        <v>3.198</v>
      </c>
      <c r="I23" s="78">
        <v>2.9942250000000006</v>
      </c>
      <c r="J23" s="78">
        <v>2.8909120000000001</v>
      </c>
      <c r="K23" s="78">
        <v>2.86</v>
      </c>
      <c r="L23" s="83">
        <f t="shared" si="0"/>
        <v>972.56097560975616</v>
      </c>
      <c r="M23" s="83">
        <f t="shared" si="1"/>
        <v>975.00000000000011</v>
      </c>
      <c r="N23" s="83">
        <f t="shared" si="2"/>
        <v>975.00000000000011</v>
      </c>
      <c r="O23" s="83">
        <f t="shared" si="3"/>
        <v>976</v>
      </c>
      <c r="P23" s="83">
        <f t="shared" si="3"/>
        <v>976.4424718333903</v>
      </c>
      <c r="Q23" s="147"/>
      <c r="R23" s="139"/>
      <c r="S23" s="144"/>
    </row>
    <row r="24" spans="1:19" ht="27" hidden="1" customHeight="1" x14ac:dyDescent="0.2">
      <c r="A24" s="184" t="s">
        <v>19</v>
      </c>
      <c r="B24" s="78">
        <v>0</v>
      </c>
      <c r="C24" s="78">
        <v>0</v>
      </c>
      <c r="D24" s="78">
        <v>0</v>
      </c>
      <c r="E24" s="78"/>
      <c r="F24" s="78"/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83" t="e">
        <f t="shared" si="0"/>
        <v>#DIV/0!</v>
      </c>
      <c r="M24" s="83" t="e">
        <f t="shared" si="1"/>
        <v>#DIV/0!</v>
      </c>
      <c r="N24" s="83" t="e">
        <f t="shared" si="2"/>
        <v>#DIV/0!</v>
      </c>
      <c r="O24" s="83" t="e">
        <f t="shared" si="3"/>
        <v>#DIV/0!</v>
      </c>
      <c r="P24" s="83" t="e">
        <f t="shared" si="3"/>
        <v>#DIV/0!</v>
      </c>
      <c r="Q24" s="147"/>
      <c r="R24" s="139"/>
      <c r="S24" s="144"/>
    </row>
    <row r="25" spans="1:19" ht="27" customHeight="1" x14ac:dyDescent="0.2">
      <c r="A25" s="184" t="s">
        <v>103</v>
      </c>
      <c r="B25" s="78">
        <v>243</v>
      </c>
      <c r="C25" s="78">
        <v>277</v>
      </c>
      <c r="D25" s="63">
        <v>152</v>
      </c>
      <c r="E25" s="63">
        <v>148</v>
      </c>
      <c r="F25" s="78">
        <v>172</v>
      </c>
      <c r="G25" s="78">
        <v>252</v>
      </c>
      <c r="H25" s="78">
        <v>322</v>
      </c>
      <c r="I25" s="78">
        <v>246.84800000000001</v>
      </c>
      <c r="J25" s="78">
        <v>234.43199999999999</v>
      </c>
      <c r="K25" s="78">
        <v>310.976</v>
      </c>
      <c r="L25" s="83">
        <f t="shared" si="0"/>
        <v>1037.037037037037</v>
      </c>
      <c r="M25" s="83">
        <f t="shared" si="1"/>
        <v>1162.4548736462095</v>
      </c>
      <c r="N25" s="83">
        <f t="shared" si="2"/>
        <v>1624</v>
      </c>
      <c r="O25" s="83">
        <f t="shared" si="3"/>
        <v>1583.9999999999998</v>
      </c>
      <c r="P25" s="83">
        <f t="shared" si="3"/>
        <v>1808</v>
      </c>
      <c r="Q25" s="147"/>
      <c r="R25" s="139"/>
      <c r="S25" s="144"/>
    </row>
    <row r="26" spans="1:19" ht="27" customHeight="1" x14ac:dyDescent="0.2">
      <c r="A26" s="184" t="s">
        <v>52</v>
      </c>
      <c r="B26" s="63">
        <v>0</v>
      </c>
      <c r="C26" s="78">
        <v>0.3</v>
      </c>
      <c r="D26" s="63">
        <v>0.497</v>
      </c>
      <c r="E26" s="63">
        <v>0.10100000000000001</v>
      </c>
      <c r="F26" s="78">
        <v>0.214</v>
      </c>
      <c r="G26" s="63">
        <v>0</v>
      </c>
      <c r="H26" s="78">
        <v>0.26400000000000001</v>
      </c>
      <c r="I26" s="78">
        <v>0.36380399999999996</v>
      </c>
      <c r="J26" s="78">
        <v>7.6962000000000003E-2</v>
      </c>
      <c r="K26" s="78">
        <v>0.16</v>
      </c>
      <c r="L26" s="83" t="e">
        <f t="shared" si="0"/>
        <v>#DIV/0!</v>
      </c>
      <c r="M26" s="83">
        <f t="shared" si="1"/>
        <v>880.00000000000011</v>
      </c>
      <c r="N26" s="83">
        <f t="shared" si="2"/>
        <v>731.99999999999989</v>
      </c>
      <c r="O26" s="83">
        <f t="shared" si="3"/>
        <v>762</v>
      </c>
      <c r="P26" s="83">
        <f t="shared" si="3"/>
        <v>747.6635514018692</v>
      </c>
      <c r="Q26" s="147"/>
      <c r="R26" s="139"/>
      <c r="S26" s="144"/>
    </row>
    <row r="27" spans="1:19" ht="27" customHeight="1" x14ac:dyDescent="0.2">
      <c r="A27" s="184" t="s">
        <v>22</v>
      </c>
      <c r="B27" s="78">
        <v>36</v>
      </c>
      <c r="C27" s="78">
        <v>11</v>
      </c>
      <c r="D27" s="63">
        <v>14</v>
      </c>
      <c r="E27" s="63">
        <v>23</v>
      </c>
      <c r="F27" s="63">
        <v>22</v>
      </c>
      <c r="G27" s="78">
        <v>18.694800000000004</v>
      </c>
      <c r="H27" s="78">
        <v>7</v>
      </c>
      <c r="I27" s="78">
        <v>10.878</v>
      </c>
      <c r="J27" s="78">
        <v>20.722999999999999</v>
      </c>
      <c r="K27" s="63">
        <v>11.286</v>
      </c>
      <c r="L27" s="83">
        <f t="shared" si="0"/>
        <v>519.30000000000007</v>
      </c>
      <c r="M27" s="83">
        <f t="shared" si="1"/>
        <v>636.36363636363637</v>
      </c>
      <c r="N27" s="83">
        <f t="shared" si="2"/>
        <v>777</v>
      </c>
      <c r="O27" s="83">
        <f t="shared" si="3"/>
        <v>900.99999999999989</v>
      </c>
      <c r="P27" s="83">
        <f t="shared" si="3"/>
        <v>513</v>
      </c>
      <c r="Q27" s="147"/>
      <c r="R27" s="139"/>
      <c r="S27" s="144"/>
    </row>
    <row r="28" spans="1:19" ht="27" customHeight="1" x14ac:dyDescent="0.2">
      <c r="A28" s="184" t="s">
        <v>84</v>
      </c>
      <c r="B28" s="78">
        <v>13.54</v>
      </c>
      <c r="C28" s="78">
        <v>12</v>
      </c>
      <c r="D28" s="63">
        <v>10</v>
      </c>
      <c r="E28" s="63">
        <v>9</v>
      </c>
      <c r="F28" s="63">
        <v>8</v>
      </c>
      <c r="G28" s="78">
        <v>18.04</v>
      </c>
      <c r="H28" s="78">
        <v>13</v>
      </c>
      <c r="I28" s="78">
        <v>11.9</v>
      </c>
      <c r="J28" s="78">
        <v>9.6029999999999998</v>
      </c>
      <c r="K28" s="63">
        <v>8.8879999999999999</v>
      </c>
      <c r="L28" s="83">
        <f t="shared" si="0"/>
        <v>1332.3485967503691</v>
      </c>
      <c r="M28" s="83">
        <f t="shared" si="1"/>
        <v>1083.3333333333333</v>
      </c>
      <c r="N28" s="83">
        <f t="shared" si="2"/>
        <v>1190</v>
      </c>
      <c r="O28" s="83">
        <f t="shared" si="3"/>
        <v>1067</v>
      </c>
      <c r="P28" s="83">
        <f t="shared" si="3"/>
        <v>1111</v>
      </c>
      <c r="Q28" s="147"/>
      <c r="R28" s="139"/>
      <c r="S28" s="144"/>
    </row>
    <row r="29" spans="1:19" ht="27" customHeight="1" x14ac:dyDescent="0.2">
      <c r="A29" s="184" t="s">
        <v>23</v>
      </c>
      <c r="B29" s="78">
        <v>0.6</v>
      </c>
      <c r="C29" s="78">
        <v>0.60499999999999998</v>
      </c>
      <c r="D29" s="63">
        <v>0.8</v>
      </c>
      <c r="E29" s="63">
        <v>0.41599999999999998</v>
      </c>
      <c r="F29" s="78">
        <v>0.249</v>
      </c>
      <c r="G29" s="78">
        <v>0.42499999999999999</v>
      </c>
      <c r="H29" s="78">
        <v>0.443</v>
      </c>
      <c r="I29" s="78">
        <v>0.59999999999999987</v>
      </c>
      <c r="J29" s="78">
        <v>0.33404800000000001</v>
      </c>
      <c r="K29" s="78">
        <v>0.193971</v>
      </c>
      <c r="L29" s="83">
        <f t="shared" si="0"/>
        <v>708.33333333333337</v>
      </c>
      <c r="M29" s="83">
        <f t="shared" si="1"/>
        <v>732.23140495867767</v>
      </c>
      <c r="N29" s="83">
        <f t="shared" si="2"/>
        <v>749.99999999999977</v>
      </c>
      <c r="O29" s="83">
        <f t="shared" si="3"/>
        <v>803</v>
      </c>
      <c r="P29" s="83">
        <f t="shared" si="3"/>
        <v>779</v>
      </c>
      <c r="Q29" s="147"/>
      <c r="R29" s="139"/>
      <c r="S29" s="144"/>
    </row>
    <row r="30" spans="1:19" s="65" customFormat="1" ht="27" customHeight="1" x14ac:dyDescent="0.2">
      <c r="A30" s="184" t="s">
        <v>69</v>
      </c>
      <c r="B30" s="80">
        <f t="shared" ref="B30:H30" si="4">SUM(B7:B29)</f>
        <v>11604.541000000005</v>
      </c>
      <c r="C30" s="80">
        <f t="shared" si="4"/>
        <v>11183.401000000002</v>
      </c>
      <c r="D30" s="80">
        <f>SUM(D7:D29)</f>
        <v>10328.825299999997</v>
      </c>
      <c r="E30" s="80">
        <f>SUM(E7:E29)</f>
        <v>11131.257</v>
      </c>
      <c r="F30" s="80">
        <f>SUM(F7:F29)</f>
        <v>12192.707</v>
      </c>
      <c r="G30" s="80">
        <f t="shared" si="4"/>
        <v>8569.7946170000014</v>
      </c>
      <c r="H30" s="80">
        <f t="shared" si="4"/>
        <v>13158.729999999996</v>
      </c>
      <c r="I30" s="80">
        <f>SUM(I7:I29)</f>
        <v>10932.972362000002</v>
      </c>
      <c r="J30" s="80">
        <f>SUM(J7:J29)</f>
        <v>13267.518801</v>
      </c>
      <c r="K30" s="80">
        <f>SUM(K7:K29)</f>
        <v>11225.853403000003</v>
      </c>
      <c r="L30" s="84">
        <f t="shared" si="0"/>
        <v>738.48630609345071</v>
      </c>
      <c r="M30" s="84">
        <f t="shared" si="1"/>
        <v>1176.6304364834984</v>
      </c>
      <c r="N30" s="84">
        <f t="shared" si="2"/>
        <v>1058.4913622268357</v>
      </c>
      <c r="O30" s="84">
        <f t="shared" si="3"/>
        <v>1191.915594168745</v>
      </c>
      <c r="P30" s="84">
        <f t="shared" si="3"/>
        <v>920.70230204006396</v>
      </c>
      <c r="Q30" s="148"/>
      <c r="R30" s="141"/>
      <c r="S30" s="206"/>
    </row>
    <row r="31" spans="1:19" x14ac:dyDescent="0.2">
      <c r="A31" s="38"/>
      <c r="B31" s="12"/>
      <c r="C31" s="12"/>
      <c r="G31" s="42"/>
      <c r="H31" s="42"/>
      <c r="N31" s="110"/>
      <c r="O31" s="110"/>
      <c r="P31" s="110"/>
      <c r="Q31" s="110"/>
      <c r="R31" s="110"/>
      <c r="S31" s="144"/>
    </row>
    <row r="32" spans="1:19" x14ac:dyDescent="0.2">
      <c r="D32" s="12"/>
      <c r="E32" s="12"/>
      <c r="F32" s="12"/>
      <c r="I32" s="42"/>
      <c r="J32" s="42"/>
    </row>
    <row r="34" spans="2:11" x14ac:dyDescent="0.2"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2:11" x14ac:dyDescent="0.2"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8" spans="2:11" x14ac:dyDescent="0.2">
      <c r="K38" s="13"/>
    </row>
    <row r="39" spans="2:11" x14ac:dyDescent="0.2">
      <c r="K39" s="13"/>
    </row>
    <row r="40" spans="2:11" x14ac:dyDescent="0.2">
      <c r="K40" s="13"/>
    </row>
    <row r="41" spans="2:11" x14ac:dyDescent="0.2">
      <c r="K41" s="13"/>
    </row>
    <row r="42" spans="2:11" x14ac:dyDescent="0.2">
      <c r="K42" s="13"/>
    </row>
    <row r="43" spans="2:11" x14ac:dyDescent="0.2">
      <c r="K43" s="13"/>
    </row>
    <row r="44" spans="2:11" x14ac:dyDescent="0.2">
      <c r="K44" s="13"/>
    </row>
    <row r="45" spans="2:11" x14ac:dyDescent="0.2">
      <c r="K45" s="13"/>
    </row>
  </sheetData>
  <mergeCells count="5">
    <mergeCell ref="B5:F5"/>
    <mergeCell ref="A5:A6"/>
    <mergeCell ref="A3:M3"/>
    <mergeCell ref="G5:K5"/>
    <mergeCell ref="L5:P5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U284"/>
  <sheetViews>
    <sheetView view="pageBreakPreview" topLeftCell="B42" zoomScale="60" zoomScaleNormal="60" workbookViewId="0">
      <selection activeCell="D59" sqref="D59"/>
    </sheetView>
  </sheetViews>
  <sheetFormatPr defaultRowHeight="29.25" customHeight="1" x14ac:dyDescent="0.2"/>
  <cols>
    <col min="1" max="1" width="26" style="1" customWidth="1"/>
    <col min="2" max="2" width="20.28515625" style="1" customWidth="1"/>
    <col min="3" max="7" width="11.140625" style="2" customWidth="1"/>
    <col min="8" max="8" width="11.85546875" style="2" bestFit="1" customWidth="1"/>
    <col min="9" max="12" width="11.85546875" style="2" customWidth="1"/>
    <col min="13" max="14" width="10.42578125" style="2" customWidth="1"/>
    <col min="15" max="17" width="11.42578125" style="2" customWidth="1"/>
    <col min="18" max="18" width="23.28515625" style="2" customWidth="1"/>
    <col min="19" max="73" width="9.140625" style="2"/>
    <col min="74" max="16384" width="9.140625" style="1"/>
  </cols>
  <sheetData>
    <row r="1" spans="1:73" ht="21.75" customHeight="1" x14ac:dyDescent="0.2"/>
    <row r="2" spans="1:73" ht="17.25" customHeight="1" x14ac:dyDescent="0.2">
      <c r="A2" s="232" t="s">
        <v>120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177"/>
      <c r="R2" s="162"/>
    </row>
    <row r="3" spans="1:73" ht="21.75" customHeight="1" x14ac:dyDescent="0.2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177"/>
      <c r="R3" s="16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21.75" customHeight="1" x14ac:dyDescent="0.2">
      <c r="A4" s="209" t="s">
        <v>140</v>
      </c>
      <c r="B4" s="209" t="s">
        <v>79</v>
      </c>
      <c r="C4" s="213" t="s">
        <v>114</v>
      </c>
      <c r="D4" s="213"/>
      <c r="E4" s="213"/>
      <c r="F4" s="213"/>
      <c r="G4" s="213"/>
      <c r="H4" s="213" t="s">
        <v>81</v>
      </c>
      <c r="I4" s="213"/>
      <c r="J4" s="213"/>
      <c r="K4" s="213"/>
      <c r="L4" s="213"/>
      <c r="M4" s="213" t="s">
        <v>78</v>
      </c>
      <c r="N4" s="213"/>
      <c r="O4" s="213"/>
      <c r="P4" s="213"/>
      <c r="Q4" s="213"/>
      <c r="R4" s="16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24" customHeight="1" x14ac:dyDescent="0.2">
      <c r="A5" s="209"/>
      <c r="B5" s="209"/>
      <c r="C5" s="169" t="s">
        <v>107</v>
      </c>
      <c r="D5" s="169" t="s">
        <v>108</v>
      </c>
      <c r="E5" s="169" t="s">
        <v>111</v>
      </c>
      <c r="F5" s="169" t="s">
        <v>138</v>
      </c>
      <c r="G5" s="169" t="s">
        <v>141</v>
      </c>
      <c r="H5" s="169" t="s">
        <v>107</v>
      </c>
      <c r="I5" s="169" t="s">
        <v>108</v>
      </c>
      <c r="J5" s="169" t="s">
        <v>111</v>
      </c>
      <c r="K5" s="169" t="s">
        <v>138</v>
      </c>
      <c r="L5" s="169" t="s">
        <v>141</v>
      </c>
      <c r="M5" s="169" t="s">
        <v>107</v>
      </c>
      <c r="N5" s="169" t="s">
        <v>108</v>
      </c>
      <c r="O5" s="169" t="s">
        <v>111</v>
      </c>
      <c r="P5" s="169" t="s">
        <v>138</v>
      </c>
      <c r="Q5" s="169" t="s">
        <v>141</v>
      </c>
      <c r="R5" s="16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21" customHeight="1" x14ac:dyDescent="0.2">
      <c r="A6" s="230" t="s">
        <v>1</v>
      </c>
      <c r="B6" s="104" t="s">
        <v>2</v>
      </c>
      <c r="C6" s="78">
        <v>7</v>
      </c>
      <c r="D6" s="78">
        <v>9</v>
      </c>
      <c r="E6" s="63">
        <v>3</v>
      </c>
      <c r="F6" s="63">
        <v>3</v>
      </c>
      <c r="G6" s="63">
        <v>2</v>
      </c>
      <c r="H6" s="78">
        <v>5</v>
      </c>
      <c r="I6" s="78">
        <v>6</v>
      </c>
      <c r="J6" s="63">
        <v>2.214</v>
      </c>
      <c r="K6" s="63">
        <v>1.671</v>
      </c>
      <c r="L6" s="63">
        <v>1.3959999999999999</v>
      </c>
      <c r="M6" s="83">
        <f t="shared" ref="M6:M19" si="0">H6/C6*1000</f>
        <v>714.28571428571433</v>
      </c>
      <c r="N6" s="83">
        <f t="shared" ref="N6:N19" si="1">I6/D6*1000</f>
        <v>666.66666666666663</v>
      </c>
      <c r="O6" s="83">
        <f t="shared" ref="O6:O19" si="2">J6/E6*1000</f>
        <v>738</v>
      </c>
      <c r="P6" s="83">
        <f t="shared" ref="P6:Q19" si="3">K6/F6*1000</f>
        <v>557</v>
      </c>
      <c r="Q6" s="83">
        <f t="shared" si="3"/>
        <v>698</v>
      </c>
      <c r="R6" s="16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21" customHeight="1" x14ac:dyDescent="0.2">
      <c r="A7" s="230"/>
      <c r="B7" s="104" t="s">
        <v>3</v>
      </c>
      <c r="C7" s="78">
        <v>20</v>
      </c>
      <c r="D7" s="78">
        <v>12</v>
      </c>
      <c r="E7" s="63">
        <v>6</v>
      </c>
      <c r="F7" s="63">
        <v>10</v>
      </c>
      <c r="G7" s="63">
        <v>7</v>
      </c>
      <c r="H7" s="78">
        <v>18</v>
      </c>
      <c r="I7" s="78">
        <v>15</v>
      </c>
      <c r="J7" s="63">
        <v>9.2639999999999993</v>
      </c>
      <c r="K7" s="63">
        <v>7.31</v>
      </c>
      <c r="L7" s="63">
        <v>7.0839999999999996</v>
      </c>
      <c r="M7" s="83">
        <f t="shared" si="0"/>
        <v>900</v>
      </c>
      <c r="N7" s="83">
        <f t="shared" si="1"/>
        <v>1250</v>
      </c>
      <c r="O7" s="83">
        <f t="shared" si="2"/>
        <v>1543.9999999999998</v>
      </c>
      <c r="P7" s="83">
        <f t="shared" si="3"/>
        <v>731</v>
      </c>
      <c r="Q7" s="83">
        <f t="shared" si="3"/>
        <v>1012</v>
      </c>
      <c r="R7" s="16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s="60" customFormat="1" ht="21" customHeight="1" x14ac:dyDescent="0.25">
      <c r="A8" s="230"/>
      <c r="B8" s="105" t="s">
        <v>4</v>
      </c>
      <c r="C8" s="80">
        <f t="shared" ref="C8:J8" si="4">C7+C6</f>
        <v>27</v>
      </c>
      <c r="D8" s="80">
        <f t="shared" si="4"/>
        <v>21</v>
      </c>
      <c r="E8" s="80">
        <f t="shared" si="4"/>
        <v>9</v>
      </c>
      <c r="F8" s="80">
        <v>13</v>
      </c>
      <c r="G8" s="80">
        <v>9</v>
      </c>
      <c r="H8" s="80">
        <f t="shared" si="4"/>
        <v>23</v>
      </c>
      <c r="I8" s="80">
        <f t="shared" si="4"/>
        <v>21</v>
      </c>
      <c r="J8" s="80">
        <f t="shared" si="4"/>
        <v>11.478</v>
      </c>
      <c r="K8" s="80">
        <v>8.9809999999999999</v>
      </c>
      <c r="L8" s="80">
        <v>8.48</v>
      </c>
      <c r="M8" s="84">
        <f t="shared" si="0"/>
        <v>851.85185185185185</v>
      </c>
      <c r="N8" s="84">
        <f t="shared" si="1"/>
        <v>1000</v>
      </c>
      <c r="O8" s="84">
        <f t="shared" si="2"/>
        <v>1275.3333333333333</v>
      </c>
      <c r="P8" s="84">
        <f t="shared" si="3"/>
        <v>690.84615384615392</v>
      </c>
      <c r="Q8" s="84">
        <f t="shared" si="3"/>
        <v>942.22222222222229</v>
      </c>
      <c r="R8" s="162"/>
    </row>
    <row r="9" spans="1:73" ht="21" customHeight="1" x14ac:dyDescent="0.2">
      <c r="A9" s="176" t="s">
        <v>32</v>
      </c>
      <c r="B9" s="104" t="s">
        <v>2</v>
      </c>
      <c r="C9" s="78">
        <v>0.23499999999999999</v>
      </c>
      <c r="D9" s="78">
        <v>0.54</v>
      </c>
      <c r="E9" s="63">
        <v>0.57099999999999995</v>
      </c>
      <c r="F9" s="63">
        <v>0.57299999999999995</v>
      </c>
      <c r="G9" s="63">
        <v>0.57399999999999995</v>
      </c>
      <c r="H9" s="78">
        <v>0.129</v>
      </c>
      <c r="I9" s="78">
        <v>0.433</v>
      </c>
      <c r="J9" s="63">
        <v>0.46593599999999996</v>
      </c>
      <c r="K9" s="63">
        <v>0.46814099999999997</v>
      </c>
      <c r="L9" s="63">
        <v>0.46895799999999999</v>
      </c>
      <c r="M9" s="83">
        <f t="shared" si="0"/>
        <v>548.936170212766</v>
      </c>
      <c r="N9" s="83">
        <f t="shared" si="1"/>
        <v>801.85185185185185</v>
      </c>
      <c r="O9" s="83">
        <f t="shared" si="2"/>
        <v>816</v>
      </c>
      <c r="P9" s="83">
        <f t="shared" si="3"/>
        <v>817.00000000000011</v>
      </c>
      <c r="Q9" s="83">
        <f t="shared" si="3"/>
        <v>817.00000000000011</v>
      </c>
      <c r="R9" s="16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21" customHeight="1" x14ac:dyDescent="0.2">
      <c r="A10" s="230" t="s">
        <v>26</v>
      </c>
      <c r="B10" s="104" t="s">
        <v>2</v>
      </c>
      <c r="C10" s="78">
        <f>1.256+0.649</f>
        <v>1.905</v>
      </c>
      <c r="D10" s="78">
        <f>1.63+0.455</f>
        <v>2.085</v>
      </c>
      <c r="E10" s="63">
        <v>1.1419999999999999</v>
      </c>
      <c r="F10" s="63">
        <v>1.216</v>
      </c>
      <c r="G10" s="63">
        <v>1.3170000000000002</v>
      </c>
      <c r="H10" s="78">
        <f>1.544+0.977</f>
        <v>2.5209999999999999</v>
      </c>
      <c r="I10" s="78">
        <f>2.003+0.681</f>
        <v>2.6840000000000002</v>
      </c>
      <c r="J10" s="63">
        <v>1.474</v>
      </c>
      <c r="K10" s="63">
        <v>1.6326853377265238</v>
      </c>
      <c r="L10" s="63">
        <v>1.6859999999999999</v>
      </c>
      <c r="M10" s="83">
        <f t="shared" si="0"/>
        <v>1323.3595800524934</v>
      </c>
      <c r="N10" s="83">
        <f t="shared" si="1"/>
        <v>1287.2901678657076</v>
      </c>
      <c r="O10" s="83">
        <f t="shared" si="2"/>
        <v>1290.7180385288968</v>
      </c>
      <c r="P10" s="83">
        <f t="shared" si="3"/>
        <v>1342.6688632619439</v>
      </c>
      <c r="Q10" s="83">
        <f t="shared" si="3"/>
        <v>1280.1822323462413</v>
      </c>
      <c r="R10" s="16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21" customHeight="1" x14ac:dyDescent="0.2">
      <c r="A11" s="230"/>
      <c r="B11" s="104" t="s">
        <v>3</v>
      </c>
      <c r="C11" s="78">
        <f>2.97+6.529</f>
        <v>9.4990000000000006</v>
      </c>
      <c r="D11" s="78">
        <f>3.462+4.739</f>
        <v>8.2010000000000005</v>
      </c>
      <c r="E11" s="63">
        <v>8.2210000000000001</v>
      </c>
      <c r="F11" s="63">
        <v>6.0919999999999996</v>
      </c>
      <c r="G11" s="63">
        <v>6.7639999999999993</v>
      </c>
      <c r="H11" s="78">
        <f>4.289+9.393</f>
        <v>13.682</v>
      </c>
      <c r="I11" s="78">
        <f>5.148+6.853</f>
        <v>12.000999999999999</v>
      </c>
      <c r="J11" s="63">
        <v>11.905000000000001</v>
      </c>
      <c r="K11" s="63">
        <v>8.8209999999999997</v>
      </c>
      <c r="L11" s="63">
        <v>9.7989999999999995</v>
      </c>
      <c r="M11" s="83">
        <f t="shared" si="0"/>
        <v>1440.3621433835142</v>
      </c>
      <c r="N11" s="83">
        <f t="shared" si="1"/>
        <v>1463.3581270576756</v>
      </c>
      <c r="O11" s="83">
        <f t="shared" si="2"/>
        <v>1448.1206665855736</v>
      </c>
      <c r="P11" s="83">
        <f t="shared" si="3"/>
        <v>1447.9645436638216</v>
      </c>
      <c r="Q11" s="83">
        <f t="shared" si="3"/>
        <v>1448.6989946777055</v>
      </c>
      <c r="R11" s="16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60" customFormat="1" ht="21" customHeight="1" x14ac:dyDescent="0.25">
      <c r="A12" s="230"/>
      <c r="B12" s="104" t="s">
        <v>4</v>
      </c>
      <c r="C12" s="78">
        <f t="shared" ref="C12:J12" si="5">C11+C10</f>
        <v>11.404</v>
      </c>
      <c r="D12" s="78">
        <f t="shared" si="5"/>
        <v>10.286000000000001</v>
      </c>
      <c r="E12" s="78">
        <f t="shared" si="5"/>
        <v>9.3629999999999995</v>
      </c>
      <c r="F12" s="78">
        <v>7.3079999999999998</v>
      </c>
      <c r="G12" s="78">
        <v>8.0809999999999995</v>
      </c>
      <c r="H12" s="78">
        <f t="shared" si="5"/>
        <v>16.202999999999999</v>
      </c>
      <c r="I12" s="78">
        <f t="shared" si="5"/>
        <v>14.684999999999999</v>
      </c>
      <c r="J12" s="78">
        <f t="shared" si="5"/>
        <v>13.379000000000001</v>
      </c>
      <c r="K12" s="78">
        <v>10.453685337726524</v>
      </c>
      <c r="L12" s="78">
        <v>11.484999999999999</v>
      </c>
      <c r="M12" s="83">
        <f t="shared" si="0"/>
        <v>1420.8172571027708</v>
      </c>
      <c r="N12" s="83">
        <f t="shared" si="1"/>
        <v>1427.6686758701144</v>
      </c>
      <c r="O12" s="83">
        <f t="shared" si="2"/>
        <v>1428.9223539463849</v>
      </c>
      <c r="P12" s="83">
        <f t="shared" si="3"/>
        <v>1430.444080148676</v>
      </c>
      <c r="Q12" s="83">
        <f t="shared" si="3"/>
        <v>1421.2349956688529</v>
      </c>
      <c r="R12" s="162"/>
    </row>
    <row r="13" spans="1:73" ht="21" customHeight="1" x14ac:dyDescent="0.2">
      <c r="A13" s="231" t="s">
        <v>29</v>
      </c>
      <c r="B13" s="104" t="s">
        <v>2</v>
      </c>
      <c r="C13" s="78">
        <v>0.4</v>
      </c>
      <c r="D13" s="78">
        <v>0.6</v>
      </c>
      <c r="E13" s="63">
        <v>0</v>
      </c>
      <c r="F13" s="63">
        <v>0.06</v>
      </c>
      <c r="G13" s="63">
        <v>0</v>
      </c>
      <c r="H13" s="78">
        <v>0.2</v>
      </c>
      <c r="I13" s="78">
        <v>0.3</v>
      </c>
      <c r="J13" s="63">
        <v>0</v>
      </c>
      <c r="K13" s="63">
        <v>3.7679999999999998E-2</v>
      </c>
      <c r="L13" s="63">
        <v>0</v>
      </c>
      <c r="M13" s="83">
        <f t="shared" si="0"/>
        <v>500</v>
      </c>
      <c r="N13" s="83">
        <f t="shared" si="1"/>
        <v>500</v>
      </c>
      <c r="O13" s="83" t="e">
        <f t="shared" si="2"/>
        <v>#DIV/0!</v>
      </c>
      <c r="P13" s="83">
        <f t="shared" si="3"/>
        <v>628</v>
      </c>
      <c r="Q13" s="83" t="e">
        <f t="shared" si="3"/>
        <v>#DIV/0!</v>
      </c>
      <c r="R13" s="16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21" customHeight="1" x14ac:dyDescent="0.2">
      <c r="A14" s="231"/>
      <c r="B14" s="104" t="s">
        <v>21</v>
      </c>
      <c r="C14" s="63">
        <v>0</v>
      </c>
      <c r="D14" s="78">
        <v>0.4</v>
      </c>
      <c r="E14" s="63">
        <v>0</v>
      </c>
      <c r="F14" s="63">
        <v>0</v>
      </c>
      <c r="G14" s="63">
        <v>0</v>
      </c>
      <c r="H14" s="63">
        <v>0</v>
      </c>
      <c r="I14" s="78">
        <v>0.2</v>
      </c>
      <c r="J14" s="63">
        <v>0</v>
      </c>
      <c r="K14" s="63">
        <v>0</v>
      </c>
      <c r="L14" s="63">
        <v>0</v>
      </c>
      <c r="M14" s="83" t="e">
        <f t="shared" si="0"/>
        <v>#DIV/0!</v>
      </c>
      <c r="N14" s="83">
        <f t="shared" si="1"/>
        <v>500</v>
      </c>
      <c r="O14" s="83" t="e">
        <f t="shared" si="2"/>
        <v>#DIV/0!</v>
      </c>
      <c r="P14" s="83" t="e">
        <f t="shared" si="3"/>
        <v>#DIV/0!</v>
      </c>
      <c r="Q14" s="83" t="e">
        <f t="shared" si="3"/>
        <v>#DIV/0!</v>
      </c>
      <c r="R14" s="16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60" customFormat="1" ht="21" customHeight="1" x14ac:dyDescent="0.25">
      <c r="A15" s="231"/>
      <c r="B15" s="105" t="s">
        <v>4</v>
      </c>
      <c r="C15" s="80">
        <f t="shared" ref="C15:J15" si="6">C14+C13</f>
        <v>0.4</v>
      </c>
      <c r="D15" s="80">
        <f t="shared" si="6"/>
        <v>1</v>
      </c>
      <c r="E15" s="80">
        <f t="shared" si="6"/>
        <v>0</v>
      </c>
      <c r="F15" s="80">
        <v>0.06</v>
      </c>
      <c r="G15" s="80">
        <v>0</v>
      </c>
      <c r="H15" s="80">
        <f t="shared" si="6"/>
        <v>0.2</v>
      </c>
      <c r="I15" s="80">
        <f t="shared" si="6"/>
        <v>0.5</v>
      </c>
      <c r="J15" s="80">
        <f t="shared" si="6"/>
        <v>0</v>
      </c>
      <c r="K15" s="80">
        <v>3.7679999999999998E-2</v>
      </c>
      <c r="L15" s="80">
        <v>0</v>
      </c>
      <c r="M15" s="84">
        <f t="shared" si="0"/>
        <v>500</v>
      </c>
      <c r="N15" s="84">
        <f t="shared" si="1"/>
        <v>500</v>
      </c>
      <c r="O15" s="84" t="e">
        <f t="shared" si="2"/>
        <v>#DIV/0!</v>
      </c>
      <c r="P15" s="84">
        <f t="shared" si="3"/>
        <v>628</v>
      </c>
      <c r="Q15" s="84" t="e">
        <f t="shared" si="3"/>
        <v>#DIV/0!</v>
      </c>
      <c r="R15" s="162"/>
    </row>
    <row r="16" spans="1:73" s="60" customFormat="1" ht="21" customHeight="1" x14ac:dyDescent="0.25">
      <c r="A16" s="228" t="s">
        <v>8</v>
      </c>
      <c r="B16" s="104" t="s">
        <v>2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83" t="e">
        <f t="shared" si="0"/>
        <v>#DIV/0!</v>
      </c>
      <c r="N16" s="83" t="e">
        <f t="shared" si="1"/>
        <v>#DIV/0!</v>
      </c>
      <c r="O16" s="83" t="e">
        <f t="shared" si="2"/>
        <v>#DIV/0!</v>
      </c>
      <c r="P16" s="83" t="e">
        <f t="shared" si="3"/>
        <v>#DIV/0!</v>
      </c>
      <c r="Q16" s="83" t="e">
        <f t="shared" si="3"/>
        <v>#DIV/0!</v>
      </c>
      <c r="R16" s="162"/>
    </row>
    <row r="17" spans="1:73" s="60" customFormat="1" ht="21" customHeight="1" x14ac:dyDescent="0.25">
      <c r="A17" s="228"/>
      <c r="B17" s="104" t="s">
        <v>21</v>
      </c>
      <c r="C17" s="78">
        <v>0</v>
      </c>
      <c r="D17" s="78">
        <v>0</v>
      </c>
      <c r="E17" s="78">
        <v>0</v>
      </c>
      <c r="F17" s="78">
        <v>15.59</v>
      </c>
      <c r="G17" s="78">
        <v>0.5</v>
      </c>
      <c r="H17" s="78">
        <v>0</v>
      </c>
      <c r="I17" s="78">
        <v>0</v>
      </c>
      <c r="J17" s="78">
        <v>0</v>
      </c>
      <c r="K17" s="78">
        <v>16.44745</v>
      </c>
      <c r="L17" s="78">
        <v>0.91</v>
      </c>
      <c r="M17" s="83" t="e">
        <f t="shared" si="0"/>
        <v>#DIV/0!</v>
      </c>
      <c r="N17" s="83" t="e">
        <f t="shared" si="1"/>
        <v>#DIV/0!</v>
      </c>
      <c r="O17" s="83" t="e">
        <f t="shared" si="2"/>
        <v>#DIV/0!</v>
      </c>
      <c r="P17" s="83">
        <f t="shared" si="3"/>
        <v>1055</v>
      </c>
      <c r="Q17" s="83">
        <f t="shared" si="3"/>
        <v>1820</v>
      </c>
      <c r="R17" s="162"/>
    </row>
    <row r="18" spans="1:73" s="60" customFormat="1" ht="21" customHeight="1" x14ac:dyDescent="0.25">
      <c r="A18" s="228"/>
      <c r="B18" s="105" t="s">
        <v>4</v>
      </c>
      <c r="C18" s="80">
        <v>0</v>
      </c>
      <c r="D18" s="80">
        <v>0</v>
      </c>
      <c r="E18" s="80">
        <v>0</v>
      </c>
      <c r="F18" s="80">
        <v>15.59</v>
      </c>
      <c r="G18" s="80">
        <v>0.5</v>
      </c>
      <c r="H18" s="80">
        <v>0</v>
      </c>
      <c r="I18" s="80">
        <v>0</v>
      </c>
      <c r="J18" s="80">
        <v>0</v>
      </c>
      <c r="K18" s="80">
        <v>16.44745</v>
      </c>
      <c r="L18" s="80">
        <v>0.91</v>
      </c>
      <c r="M18" s="84" t="e">
        <f t="shared" si="0"/>
        <v>#DIV/0!</v>
      </c>
      <c r="N18" s="84" t="e">
        <f t="shared" si="1"/>
        <v>#DIV/0!</v>
      </c>
      <c r="O18" s="84" t="e">
        <f t="shared" si="2"/>
        <v>#DIV/0!</v>
      </c>
      <c r="P18" s="84">
        <f t="shared" si="3"/>
        <v>1055</v>
      </c>
      <c r="Q18" s="84">
        <f t="shared" si="3"/>
        <v>1820</v>
      </c>
      <c r="R18" s="162"/>
    </row>
    <row r="19" spans="1:73" ht="21" hidden="1" customHeight="1" x14ac:dyDescent="0.2">
      <c r="A19" s="223" t="s">
        <v>9</v>
      </c>
      <c r="B19" s="104" t="s">
        <v>2</v>
      </c>
      <c r="C19" s="78"/>
      <c r="D19" s="78"/>
      <c r="E19" s="78">
        <v>0</v>
      </c>
      <c r="F19" s="78">
        <v>0</v>
      </c>
      <c r="G19" s="78">
        <v>0</v>
      </c>
      <c r="H19" s="78"/>
      <c r="I19" s="78"/>
      <c r="J19" s="63">
        <v>0</v>
      </c>
      <c r="K19" s="63">
        <v>0</v>
      </c>
      <c r="L19" s="63">
        <v>0</v>
      </c>
      <c r="M19" s="83" t="e">
        <f t="shared" si="0"/>
        <v>#DIV/0!</v>
      </c>
      <c r="N19" s="83" t="e">
        <f t="shared" si="1"/>
        <v>#DIV/0!</v>
      </c>
      <c r="O19" s="83" t="e">
        <f t="shared" si="2"/>
        <v>#DIV/0!</v>
      </c>
      <c r="P19" s="83" t="e">
        <f t="shared" si="3"/>
        <v>#DIV/0!</v>
      </c>
      <c r="Q19" s="83" t="e">
        <f t="shared" si="3"/>
        <v>#DIV/0!</v>
      </c>
      <c r="R19" s="16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21" customHeight="1" x14ac:dyDescent="0.2">
      <c r="A20" s="223"/>
      <c r="B20" s="104" t="s">
        <v>21</v>
      </c>
      <c r="C20" s="78">
        <v>9</v>
      </c>
      <c r="D20" s="78">
        <v>8.9</v>
      </c>
      <c r="E20" s="63">
        <v>5</v>
      </c>
      <c r="F20" s="63">
        <v>9.5</v>
      </c>
      <c r="G20" s="63">
        <v>9.1</v>
      </c>
      <c r="H20" s="78">
        <v>18.504000000000001</v>
      </c>
      <c r="I20" s="78">
        <v>12.4</v>
      </c>
      <c r="J20" s="63">
        <v>9.43</v>
      </c>
      <c r="K20" s="63">
        <v>18.0975</v>
      </c>
      <c r="L20" s="63">
        <v>16.798599999999997</v>
      </c>
      <c r="M20" s="83">
        <f t="shared" ref="M20" si="7">H20/C20*1000</f>
        <v>2056</v>
      </c>
      <c r="N20" s="83">
        <f t="shared" ref="N20" si="8">I20/D20*1000</f>
        <v>1393.2584269662923</v>
      </c>
      <c r="O20" s="83">
        <f t="shared" ref="O20:O31" si="9">J20/E20*1000</f>
        <v>1886</v>
      </c>
      <c r="P20" s="83">
        <f t="shared" ref="P20:Q31" si="10">K20/F20*1000</f>
        <v>1905</v>
      </c>
      <c r="Q20" s="83">
        <f t="shared" si="10"/>
        <v>1845.9999999999995</v>
      </c>
      <c r="R20" s="16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21" customHeight="1" x14ac:dyDescent="0.2">
      <c r="A21" s="223"/>
      <c r="B21" s="105" t="s">
        <v>4</v>
      </c>
      <c r="C21" s="80">
        <f t="shared" ref="C21:J21" si="11">SUM(C19:C20)</f>
        <v>9</v>
      </c>
      <c r="D21" s="80">
        <f t="shared" si="11"/>
        <v>8.9</v>
      </c>
      <c r="E21" s="80">
        <f t="shared" si="11"/>
        <v>5</v>
      </c>
      <c r="F21" s="80">
        <v>9.5</v>
      </c>
      <c r="G21" s="80">
        <v>9.1</v>
      </c>
      <c r="H21" s="80">
        <f t="shared" si="11"/>
        <v>18.504000000000001</v>
      </c>
      <c r="I21" s="80">
        <f t="shared" si="11"/>
        <v>12.4</v>
      </c>
      <c r="J21" s="80">
        <f t="shared" si="11"/>
        <v>9.43</v>
      </c>
      <c r="K21" s="80">
        <v>18.0975</v>
      </c>
      <c r="L21" s="80">
        <v>16.798599999999997</v>
      </c>
      <c r="M21" s="84">
        <f t="shared" ref="M21:M31" si="12">H21/C21*1000</f>
        <v>2056</v>
      </c>
      <c r="N21" s="84">
        <f t="shared" ref="N21:N31" si="13">I21/D21*1000</f>
        <v>1393.2584269662923</v>
      </c>
      <c r="O21" s="84">
        <f t="shared" si="9"/>
        <v>1886</v>
      </c>
      <c r="P21" s="84">
        <f t="shared" si="10"/>
        <v>1905</v>
      </c>
      <c r="Q21" s="84">
        <f t="shared" si="10"/>
        <v>1845.9999999999995</v>
      </c>
      <c r="R21" s="16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21" customHeight="1" x14ac:dyDescent="0.2">
      <c r="A22" s="230" t="s">
        <v>50</v>
      </c>
      <c r="B22" s="104" t="s">
        <v>2</v>
      </c>
      <c r="C22" s="78">
        <v>0.2</v>
      </c>
      <c r="D22" s="78">
        <v>1.409</v>
      </c>
      <c r="E22" s="63">
        <v>0.41199999999999998</v>
      </c>
      <c r="F22" s="63">
        <v>0.35799999999999998</v>
      </c>
      <c r="G22" s="63">
        <v>0.14899999999999999</v>
      </c>
      <c r="H22" s="78">
        <v>0.1424</v>
      </c>
      <c r="I22" s="78">
        <v>0.76700000000000002</v>
      </c>
      <c r="J22" s="63">
        <v>0.28839999999999999</v>
      </c>
      <c r="K22" s="63">
        <v>0.19761599999999999</v>
      </c>
      <c r="L22" s="63">
        <v>7.7926999999999996E-2</v>
      </c>
      <c r="M22" s="83">
        <f t="shared" si="12"/>
        <v>712</v>
      </c>
      <c r="N22" s="83">
        <f t="shared" si="13"/>
        <v>544.35770049680616</v>
      </c>
      <c r="O22" s="83">
        <f t="shared" si="9"/>
        <v>700.00000000000011</v>
      </c>
      <c r="P22" s="83">
        <f t="shared" si="10"/>
        <v>551.99999999999989</v>
      </c>
      <c r="Q22" s="83">
        <f t="shared" si="10"/>
        <v>523</v>
      </c>
      <c r="R22" s="16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21" customHeight="1" x14ac:dyDescent="0.2">
      <c r="A23" s="230"/>
      <c r="B23" s="104" t="s">
        <v>3</v>
      </c>
      <c r="C23" s="78">
        <v>1.3220000000000001</v>
      </c>
      <c r="D23" s="78">
        <v>1.5349999999999999</v>
      </c>
      <c r="E23" s="63">
        <v>1.7589999999999999</v>
      </c>
      <c r="F23" s="63">
        <v>0.70499999999999996</v>
      </c>
      <c r="G23" s="63">
        <v>0.39800000000000002</v>
      </c>
      <c r="H23" s="78">
        <v>0.61599999999999999</v>
      </c>
      <c r="I23" s="78">
        <v>0.77100000000000002</v>
      </c>
      <c r="J23" s="63">
        <v>0.91116199999999992</v>
      </c>
      <c r="K23" s="63">
        <v>0.32359499999999997</v>
      </c>
      <c r="L23" s="63">
        <v>0.21770600000000001</v>
      </c>
      <c r="M23" s="83">
        <f t="shared" si="12"/>
        <v>465.96066565809372</v>
      </c>
      <c r="N23" s="83">
        <f t="shared" si="13"/>
        <v>502.28013029315963</v>
      </c>
      <c r="O23" s="83">
        <f t="shared" si="9"/>
        <v>518</v>
      </c>
      <c r="P23" s="83">
        <f t="shared" si="10"/>
        <v>458.99999999999994</v>
      </c>
      <c r="Q23" s="83">
        <f t="shared" si="10"/>
        <v>547</v>
      </c>
      <c r="R23" s="16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60" customFormat="1" ht="21" customHeight="1" x14ac:dyDescent="0.25">
      <c r="A24" s="230"/>
      <c r="B24" s="105" t="s">
        <v>4</v>
      </c>
      <c r="C24" s="78">
        <f t="shared" ref="C24:J24" si="14">C23+C22</f>
        <v>1.522</v>
      </c>
      <c r="D24" s="78">
        <f t="shared" si="14"/>
        <v>2.944</v>
      </c>
      <c r="E24" s="78">
        <f t="shared" si="14"/>
        <v>2.1709999999999998</v>
      </c>
      <c r="F24" s="78">
        <v>1.0629999999999999</v>
      </c>
      <c r="G24" s="78">
        <v>0.54700000000000004</v>
      </c>
      <c r="H24" s="80">
        <f t="shared" si="14"/>
        <v>0.75839999999999996</v>
      </c>
      <c r="I24" s="80">
        <f t="shared" si="14"/>
        <v>1.538</v>
      </c>
      <c r="J24" s="80">
        <f t="shared" si="14"/>
        <v>1.1995619999999998</v>
      </c>
      <c r="K24" s="80">
        <v>0.52121099999999998</v>
      </c>
      <c r="L24" s="80">
        <v>0.29563300000000003</v>
      </c>
      <c r="M24" s="84">
        <f t="shared" si="12"/>
        <v>498.29172141918525</v>
      </c>
      <c r="N24" s="84">
        <f t="shared" si="13"/>
        <v>522.41847826086962</v>
      </c>
      <c r="O24" s="84">
        <f t="shared" si="9"/>
        <v>552.53892215568851</v>
      </c>
      <c r="P24" s="84">
        <f t="shared" si="10"/>
        <v>490.32079021636878</v>
      </c>
      <c r="Q24" s="84">
        <f t="shared" si="10"/>
        <v>540.46252285191952</v>
      </c>
      <c r="R24" s="162"/>
    </row>
    <row r="25" spans="1:73" ht="21" customHeight="1" x14ac:dyDescent="0.2">
      <c r="A25" s="230" t="s">
        <v>11</v>
      </c>
      <c r="B25" s="104" t="s">
        <v>2</v>
      </c>
      <c r="C25" s="78">
        <v>125</v>
      </c>
      <c r="D25" s="78">
        <v>134</v>
      </c>
      <c r="E25" s="63">
        <v>111</v>
      </c>
      <c r="F25" s="63">
        <v>90.25</v>
      </c>
      <c r="G25" s="63">
        <v>101</v>
      </c>
      <c r="H25" s="78">
        <v>51</v>
      </c>
      <c r="I25" s="78">
        <v>78</v>
      </c>
      <c r="J25" s="63">
        <v>67.932000000000002</v>
      </c>
      <c r="K25" s="63">
        <v>80.864000000000004</v>
      </c>
      <c r="L25" s="63">
        <v>80.396000000000001</v>
      </c>
      <c r="M25" s="83">
        <f t="shared" si="12"/>
        <v>408</v>
      </c>
      <c r="N25" s="83">
        <f t="shared" si="13"/>
        <v>582.08955223880594</v>
      </c>
      <c r="O25" s="83">
        <f t="shared" si="9"/>
        <v>612</v>
      </c>
      <c r="P25" s="83">
        <f t="shared" si="10"/>
        <v>896</v>
      </c>
      <c r="Q25" s="83">
        <f t="shared" si="10"/>
        <v>796</v>
      </c>
      <c r="R25" s="16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21" customHeight="1" x14ac:dyDescent="0.2">
      <c r="A26" s="230"/>
      <c r="B26" s="104" t="s">
        <v>3</v>
      </c>
      <c r="C26" s="78">
        <f>194+11</f>
        <v>205</v>
      </c>
      <c r="D26" s="78">
        <f>82+4</f>
        <v>86</v>
      </c>
      <c r="E26" s="63">
        <v>62</v>
      </c>
      <c r="F26" s="63">
        <v>46.55</v>
      </c>
      <c r="G26" s="63">
        <v>28</v>
      </c>
      <c r="H26" s="78">
        <v>100.54225</v>
      </c>
      <c r="I26" s="78">
        <f>18+2</f>
        <v>20</v>
      </c>
      <c r="J26" s="63">
        <v>39</v>
      </c>
      <c r="K26" s="63">
        <v>24.700000000000003</v>
      </c>
      <c r="L26" s="63">
        <v>23</v>
      </c>
      <c r="M26" s="83">
        <f t="shared" si="12"/>
        <v>490.45</v>
      </c>
      <c r="N26" s="83">
        <f t="shared" si="13"/>
        <v>232.55813953488371</v>
      </c>
      <c r="O26" s="83">
        <f t="shared" si="9"/>
        <v>629.0322580645161</v>
      </c>
      <c r="P26" s="83">
        <f t="shared" si="10"/>
        <v>530.61224489795927</v>
      </c>
      <c r="Q26" s="83">
        <f t="shared" si="10"/>
        <v>821.42857142857144</v>
      </c>
      <c r="R26" s="16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s="60" customFormat="1" ht="21" customHeight="1" x14ac:dyDescent="0.25">
      <c r="A27" s="230"/>
      <c r="B27" s="105" t="s">
        <v>4</v>
      </c>
      <c r="C27" s="80">
        <f>C26+C25</f>
        <v>330</v>
      </c>
      <c r="D27" s="80">
        <f>D26+D25</f>
        <v>220</v>
      </c>
      <c r="E27" s="80">
        <f>E26+E25</f>
        <v>173</v>
      </c>
      <c r="F27" s="80">
        <v>136.79999999999998</v>
      </c>
      <c r="G27" s="80">
        <v>129</v>
      </c>
      <c r="H27" s="80">
        <f>H26+H25</f>
        <v>151.54225</v>
      </c>
      <c r="I27" s="80">
        <f>I26+I25</f>
        <v>98</v>
      </c>
      <c r="J27" s="80">
        <f>J26+J25</f>
        <v>106.932</v>
      </c>
      <c r="K27" s="80">
        <v>105.56400000000001</v>
      </c>
      <c r="L27" s="80">
        <v>103.396</v>
      </c>
      <c r="M27" s="84">
        <f t="shared" si="12"/>
        <v>459.21893939393937</v>
      </c>
      <c r="N27" s="84">
        <f t="shared" si="13"/>
        <v>445.45454545454544</v>
      </c>
      <c r="O27" s="84">
        <f t="shared" si="9"/>
        <v>618.10404624277464</v>
      </c>
      <c r="P27" s="84">
        <f t="shared" si="10"/>
        <v>771.66666666666686</v>
      </c>
      <c r="Q27" s="84">
        <f t="shared" si="10"/>
        <v>801.51937984496124</v>
      </c>
      <c r="R27" s="162"/>
    </row>
    <row r="28" spans="1:73" ht="21" customHeight="1" x14ac:dyDescent="0.2">
      <c r="A28" s="230" t="s">
        <v>13</v>
      </c>
      <c r="B28" s="104" t="s">
        <v>2</v>
      </c>
      <c r="C28" s="78">
        <v>1</v>
      </c>
      <c r="D28" s="78">
        <v>1</v>
      </c>
      <c r="E28" s="63">
        <v>1</v>
      </c>
      <c r="F28" s="63">
        <v>0</v>
      </c>
      <c r="G28" s="63">
        <v>0</v>
      </c>
      <c r="H28" s="78">
        <v>1</v>
      </c>
      <c r="I28" s="78">
        <v>1</v>
      </c>
      <c r="J28" s="63">
        <v>1</v>
      </c>
      <c r="K28" s="63">
        <v>0</v>
      </c>
      <c r="L28" s="63">
        <v>0</v>
      </c>
      <c r="M28" s="83">
        <f t="shared" si="12"/>
        <v>1000</v>
      </c>
      <c r="N28" s="83">
        <f t="shared" si="13"/>
        <v>1000</v>
      </c>
      <c r="O28" s="83">
        <f t="shared" si="9"/>
        <v>1000</v>
      </c>
      <c r="P28" s="83" t="e">
        <f t="shared" si="10"/>
        <v>#DIV/0!</v>
      </c>
      <c r="Q28" s="83" t="e">
        <f t="shared" si="10"/>
        <v>#DIV/0!</v>
      </c>
      <c r="R28" s="16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21" customHeight="1" x14ac:dyDescent="0.2">
      <c r="A29" s="230"/>
      <c r="B29" s="104" t="s">
        <v>16</v>
      </c>
      <c r="C29" s="63">
        <v>0</v>
      </c>
      <c r="D29" s="78">
        <v>2</v>
      </c>
      <c r="E29" s="63">
        <v>2</v>
      </c>
      <c r="F29" s="63">
        <v>0</v>
      </c>
      <c r="G29" s="63">
        <v>0</v>
      </c>
      <c r="H29" s="63">
        <v>0</v>
      </c>
      <c r="I29" s="78">
        <v>2</v>
      </c>
      <c r="J29" s="63">
        <v>2</v>
      </c>
      <c r="K29" s="63">
        <v>0</v>
      </c>
      <c r="L29" s="63">
        <v>0</v>
      </c>
      <c r="M29" s="83" t="e">
        <f t="shared" si="12"/>
        <v>#DIV/0!</v>
      </c>
      <c r="N29" s="83">
        <f t="shared" si="13"/>
        <v>1000</v>
      </c>
      <c r="O29" s="83">
        <f t="shared" si="9"/>
        <v>1000</v>
      </c>
      <c r="P29" s="83" t="e">
        <f t="shared" si="10"/>
        <v>#DIV/0!</v>
      </c>
      <c r="Q29" s="83" t="e">
        <f t="shared" si="10"/>
        <v>#DIV/0!</v>
      </c>
      <c r="R29" s="16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s="60" customFormat="1" ht="21" customHeight="1" x14ac:dyDescent="0.25">
      <c r="A30" s="230"/>
      <c r="B30" s="104" t="s">
        <v>4</v>
      </c>
      <c r="C30" s="78">
        <f t="shared" ref="C30:J30" si="15">C29+C28</f>
        <v>1</v>
      </c>
      <c r="D30" s="78">
        <f t="shared" si="15"/>
        <v>3</v>
      </c>
      <c r="E30" s="78">
        <f t="shared" si="15"/>
        <v>3</v>
      </c>
      <c r="F30" s="78">
        <v>0</v>
      </c>
      <c r="G30" s="78">
        <v>0</v>
      </c>
      <c r="H30" s="78">
        <f t="shared" si="15"/>
        <v>1</v>
      </c>
      <c r="I30" s="78">
        <f t="shared" si="15"/>
        <v>3</v>
      </c>
      <c r="J30" s="78">
        <f t="shared" si="15"/>
        <v>3</v>
      </c>
      <c r="K30" s="78">
        <v>0</v>
      </c>
      <c r="L30" s="78">
        <v>0</v>
      </c>
      <c r="M30" s="83">
        <f t="shared" si="12"/>
        <v>1000</v>
      </c>
      <c r="N30" s="83">
        <f t="shared" si="13"/>
        <v>1000</v>
      </c>
      <c r="O30" s="83">
        <f t="shared" si="9"/>
        <v>1000</v>
      </c>
      <c r="P30" s="83" t="e">
        <f t="shared" si="10"/>
        <v>#DIV/0!</v>
      </c>
      <c r="Q30" s="83" t="e">
        <f t="shared" si="10"/>
        <v>#DIV/0!</v>
      </c>
      <c r="R30" s="162"/>
    </row>
    <row r="31" spans="1:73" ht="21" customHeight="1" x14ac:dyDescent="0.2">
      <c r="A31" s="231" t="s">
        <v>14</v>
      </c>
      <c r="B31" s="104" t="s">
        <v>2</v>
      </c>
      <c r="C31" s="78">
        <v>18</v>
      </c>
      <c r="D31" s="78">
        <v>21.1</v>
      </c>
      <c r="E31" s="63">
        <v>16</v>
      </c>
      <c r="F31" s="63">
        <v>21.4</v>
      </c>
      <c r="G31" s="63">
        <v>19.23</v>
      </c>
      <c r="H31" s="78">
        <v>2</v>
      </c>
      <c r="I31" s="78">
        <v>5.9</v>
      </c>
      <c r="J31" s="63">
        <v>7.7279999999999998</v>
      </c>
      <c r="K31" s="63">
        <v>4.1259199999999998</v>
      </c>
      <c r="L31" s="63">
        <v>6.7689599999999999</v>
      </c>
      <c r="M31" s="83">
        <f t="shared" si="12"/>
        <v>111.1111111111111</v>
      </c>
      <c r="N31" s="83">
        <f t="shared" si="13"/>
        <v>279.62085308056874</v>
      </c>
      <c r="O31" s="83">
        <f t="shared" si="9"/>
        <v>483</v>
      </c>
      <c r="P31" s="83">
        <f t="shared" si="10"/>
        <v>192.8</v>
      </c>
      <c r="Q31" s="83">
        <f t="shared" si="10"/>
        <v>352</v>
      </c>
      <c r="R31" s="16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21" customHeight="1" x14ac:dyDescent="0.2">
      <c r="A32" s="231"/>
      <c r="B32" s="104" t="s">
        <v>21</v>
      </c>
      <c r="C32" s="78">
        <v>29</v>
      </c>
      <c r="D32" s="78">
        <f>37.3+0.7</f>
        <v>38</v>
      </c>
      <c r="E32" s="63">
        <v>24.4</v>
      </c>
      <c r="F32" s="63">
        <v>16.29</v>
      </c>
      <c r="G32" s="63">
        <v>8.57</v>
      </c>
      <c r="H32" s="78">
        <f>7+1</f>
        <v>8</v>
      </c>
      <c r="I32" s="78">
        <f>28.4+0.8</f>
        <v>29.2</v>
      </c>
      <c r="J32" s="63">
        <v>12.5</v>
      </c>
      <c r="K32" s="63">
        <v>3.0300000000000002</v>
      </c>
      <c r="L32" s="63">
        <v>5.35</v>
      </c>
      <c r="M32" s="83">
        <f>H32/C32*180</f>
        <v>49.655172413793103</v>
      </c>
      <c r="N32" s="83">
        <f>I32/D32*180</f>
        <v>138.31578947368419</v>
      </c>
      <c r="O32" s="83">
        <f>J32/E32*180</f>
        <v>92.21311475409837</v>
      </c>
      <c r="P32" s="83">
        <f>K32/F32*180</f>
        <v>33.480662983425418</v>
      </c>
      <c r="Q32" s="83">
        <f>L32/G32*180</f>
        <v>112.36872812135354</v>
      </c>
      <c r="R32" s="16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60" customFormat="1" ht="21" customHeight="1" x14ac:dyDescent="0.25">
      <c r="A33" s="231"/>
      <c r="B33" s="105" t="s">
        <v>4</v>
      </c>
      <c r="C33" s="80">
        <f t="shared" ref="C33:J33" si="16">C32+C31</f>
        <v>47</v>
      </c>
      <c r="D33" s="80">
        <f t="shared" si="16"/>
        <v>59.1</v>
      </c>
      <c r="E33" s="80">
        <f t="shared" si="16"/>
        <v>40.4</v>
      </c>
      <c r="F33" s="80">
        <v>37.69</v>
      </c>
      <c r="G33" s="80">
        <v>27.8</v>
      </c>
      <c r="H33" s="80">
        <f t="shared" si="16"/>
        <v>10</v>
      </c>
      <c r="I33" s="80">
        <f t="shared" si="16"/>
        <v>35.1</v>
      </c>
      <c r="J33" s="80">
        <f t="shared" si="16"/>
        <v>20.228000000000002</v>
      </c>
      <c r="K33" s="80">
        <v>7.1559200000000001</v>
      </c>
      <c r="L33" s="80">
        <v>12.11896</v>
      </c>
      <c r="M33" s="84">
        <f t="shared" ref="M33:M54" si="17">H33/C33*1000</f>
        <v>212.7659574468085</v>
      </c>
      <c r="N33" s="84">
        <f t="shared" ref="N33:N54" si="18">I33/D33*1000</f>
        <v>593.90862944162438</v>
      </c>
      <c r="O33" s="84">
        <f t="shared" ref="O33:O54" si="19">J33/E33*1000</f>
        <v>500.69306930693068</v>
      </c>
      <c r="P33" s="84">
        <f t="shared" ref="P33:Q54" si="20">K33/F33*1000</f>
        <v>189.86256301406209</v>
      </c>
      <c r="Q33" s="84">
        <f t="shared" si="20"/>
        <v>435.93381294964024</v>
      </c>
      <c r="R33" s="162"/>
    </row>
    <row r="34" spans="1:73" ht="21" customHeight="1" x14ac:dyDescent="0.2">
      <c r="A34" s="230" t="s">
        <v>15</v>
      </c>
      <c r="B34" s="104" t="s">
        <v>2</v>
      </c>
      <c r="C34" s="78">
        <v>0.34</v>
      </c>
      <c r="D34" s="78">
        <v>0.35</v>
      </c>
      <c r="E34" s="63">
        <v>0.35</v>
      </c>
      <c r="F34" s="63">
        <v>0.36</v>
      </c>
      <c r="G34" s="63">
        <v>0.36</v>
      </c>
      <c r="H34" s="78">
        <v>0.28000000000000003</v>
      </c>
      <c r="I34" s="78">
        <v>0.3</v>
      </c>
      <c r="J34" s="63">
        <v>0.31009999999999999</v>
      </c>
      <c r="K34" s="63">
        <v>0.32003999999999999</v>
      </c>
      <c r="L34" s="63">
        <v>0.32003999999999999</v>
      </c>
      <c r="M34" s="83">
        <f t="shared" si="17"/>
        <v>823.52941176470597</v>
      </c>
      <c r="N34" s="83">
        <f t="shared" si="18"/>
        <v>857.14285714285722</v>
      </c>
      <c r="O34" s="83">
        <f t="shared" si="19"/>
        <v>886</v>
      </c>
      <c r="P34" s="83">
        <f t="shared" si="20"/>
        <v>889</v>
      </c>
      <c r="Q34" s="83">
        <f t="shared" si="20"/>
        <v>889</v>
      </c>
      <c r="R34" s="16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21" customHeight="1" x14ac:dyDescent="0.2">
      <c r="A35" s="230"/>
      <c r="B35" s="104" t="s">
        <v>16</v>
      </c>
      <c r="C35" s="78">
        <v>2.17</v>
      </c>
      <c r="D35" s="78">
        <v>2.2200000000000002</v>
      </c>
      <c r="E35" s="63">
        <v>2.27</v>
      </c>
      <c r="F35" s="63">
        <v>2.3199999999999998</v>
      </c>
      <c r="G35" s="63">
        <v>2.37</v>
      </c>
      <c r="H35" s="78">
        <v>1.33</v>
      </c>
      <c r="I35" s="78">
        <v>1.36</v>
      </c>
      <c r="J35" s="63">
        <v>1.38924</v>
      </c>
      <c r="K35" s="63">
        <v>1.41984</v>
      </c>
      <c r="L35" s="63">
        <v>1.45044</v>
      </c>
      <c r="M35" s="83">
        <f t="shared" si="17"/>
        <v>612.90322580645159</v>
      </c>
      <c r="N35" s="83">
        <f t="shared" si="18"/>
        <v>612.61261261261257</v>
      </c>
      <c r="O35" s="83">
        <f t="shared" si="19"/>
        <v>612</v>
      </c>
      <c r="P35" s="83">
        <f t="shared" si="20"/>
        <v>612</v>
      </c>
      <c r="Q35" s="83">
        <f t="shared" si="20"/>
        <v>612</v>
      </c>
      <c r="R35" s="16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60" customFormat="1" ht="21" customHeight="1" x14ac:dyDescent="0.25">
      <c r="A36" s="230"/>
      <c r="B36" s="105" t="s">
        <v>4</v>
      </c>
      <c r="C36" s="78">
        <f t="shared" ref="C36:J36" si="21">C35+C34</f>
        <v>2.5099999999999998</v>
      </c>
      <c r="D36" s="78">
        <f t="shared" si="21"/>
        <v>2.5700000000000003</v>
      </c>
      <c r="E36" s="78">
        <f t="shared" si="21"/>
        <v>2.62</v>
      </c>
      <c r="F36" s="78">
        <v>2.6799999999999997</v>
      </c>
      <c r="G36" s="78">
        <v>2.73</v>
      </c>
      <c r="H36" s="78">
        <f t="shared" si="21"/>
        <v>1.61</v>
      </c>
      <c r="I36" s="78">
        <f t="shared" si="21"/>
        <v>1.6600000000000001</v>
      </c>
      <c r="J36" s="78">
        <f t="shared" si="21"/>
        <v>1.6993400000000001</v>
      </c>
      <c r="K36" s="78">
        <v>1.7398799999999999</v>
      </c>
      <c r="L36" s="78">
        <v>1.7704800000000001</v>
      </c>
      <c r="M36" s="83">
        <f t="shared" si="17"/>
        <v>641.43426294820722</v>
      </c>
      <c r="N36" s="83">
        <f t="shared" si="18"/>
        <v>645.91439688715957</v>
      </c>
      <c r="O36" s="83">
        <f t="shared" si="19"/>
        <v>648.60305343511448</v>
      </c>
      <c r="P36" s="83">
        <f t="shared" si="20"/>
        <v>649.20895522388071</v>
      </c>
      <c r="Q36" s="83">
        <f t="shared" si="20"/>
        <v>648.52747252747258</v>
      </c>
      <c r="R36" s="162"/>
    </row>
    <row r="37" spans="1:73" ht="21" customHeight="1" x14ac:dyDescent="0.2">
      <c r="A37" s="230" t="s">
        <v>101</v>
      </c>
      <c r="B37" s="104" t="s">
        <v>2</v>
      </c>
      <c r="C37" s="78">
        <v>0.28999999999999998</v>
      </c>
      <c r="D37" s="78">
        <v>0.34</v>
      </c>
      <c r="E37" s="63">
        <v>0.24</v>
      </c>
      <c r="F37" s="63">
        <v>0.16</v>
      </c>
      <c r="G37" s="63">
        <v>0.63</v>
      </c>
      <c r="H37" s="78">
        <v>0.2</v>
      </c>
      <c r="I37" s="78">
        <v>0.24</v>
      </c>
      <c r="J37" s="63">
        <v>0.17088</v>
      </c>
      <c r="K37" s="63">
        <v>0.1152</v>
      </c>
      <c r="L37" s="63">
        <v>0.45485999999999999</v>
      </c>
      <c r="M37" s="83">
        <f t="shared" si="17"/>
        <v>689.65517241379314</v>
      </c>
      <c r="N37" s="83">
        <f t="shared" si="18"/>
        <v>705.88235294117635</v>
      </c>
      <c r="O37" s="83">
        <f t="shared" si="19"/>
        <v>712.00000000000011</v>
      </c>
      <c r="P37" s="83">
        <f t="shared" si="20"/>
        <v>720</v>
      </c>
      <c r="Q37" s="83">
        <f t="shared" si="20"/>
        <v>722</v>
      </c>
      <c r="R37" s="16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21" customHeight="1" x14ac:dyDescent="0.2">
      <c r="A38" s="230"/>
      <c r="B38" s="104" t="s">
        <v>3</v>
      </c>
      <c r="C38" s="78">
        <v>15.74</v>
      </c>
      <c r="D38" s="78">
        <v>17.68</v>
      </c>
      <c r="E38" s="63">
        <v>12.19</v>
      </c>
      <c r="F38" s="63">
        <v>16.079999999999998</v>
      </c>
      <c r="G38" s="63">
        <v>15.93</v>
      </c>
      <c r="H38" s="78">
        <v>18.86</v>
      </c>
      <c r="I38" s="78">
        <v>21.22</v>
      </c>
      <c r="J38" s="63">
        <v>15.298449999999999</v>
      </c>
      <c r="K38" s="63">
        <v>20.228639999999999</v>
      </c>
      <c r="L38" s="63">
        <v>20.501909999999999</v>
      </c>
      <c r="M38" s="83">
        <f t="shared" si="17"/>
        <v>1198.2210927573062</v>
      </c>
      <c r="N38" s="83">
        <f t="shared" si="18"/>
        <v>1200.2262443438913</v>
      </c>
      <c r="O38" s="83">
        <f t="shared" si="19"/>
        <v>1255</v>
      </c>
      <c r="P38" s="83">
        <f t="shared" si="20"/>
        <v>1258</v>
      </c>
      <c r="Q38" s="83">
        <f t="shared" si="20"/>
        <v>1287</v>
      </c>
      <c r="R38" s="16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s="60" customFormat="1" ht="21" customHeight="1" x14ac:dyDescent="0.25">
      <c r="A39" s="230"/>
      <c r="B39" s="105" t="s">
        <v>4</v>
      </c>
      <c r="C39" s="80">
        <f t="shared" ref="C39:J39" si="22">C38+C37</f>
        <v>16.03</v>
      </c>
      <c r="D39" s="80">
        <f t="shared" si="22"/>
        <v>18.02</v>
      </c>
      <c r="E39" s="80">
        <f t="shared" si="22"/>
        <v>12.43</v>
      </c>
      <c r="F39" s="80">
        <v>16.239999999999998</v>
      </c>
      <c r="G39" s="80">
        <v>16.559999999999999</v>
      </c>
      <c r="H39" s="80">
        <f t="shared" si="22"/>
        <v>19.059999999999999</v>
      </c>
      <c r="I39" s="80">
        <f t="shared" si="22"/>
        <v>21.459999999999997</v>
      </c>
      <c r="J39" s="80">
        <f t="shared" si="22"/>
        <v>15.469329999999999</v>
      </c>
      <c r="K39" s="80">
        <v>20.34384</v>
      </c>
      <c r="L39" s="80">
        <v>20.956769999999999</v>
      </c>
      <c r="M39" s="84">
        <f t="shared" si="17"/>
        <v>1189.0205864004988</v>
      </c>
      <c r="N39" s="84">
        <f t="shared" si="18"/>
        <v>1190.8990011098779</v>
      </c>
      <c r="O39" s="84">
        <f t="shared" si="19"/>
        <v>1244.5156878519711</v>
      </c>
      <c r="P39" s="84">
        <f t="shared" si="20"/>
        <v>1252.6995073891626</v>
      </c>
      <c r="Q39" s="84">
        <f t="shared" si="20"/>
        <v>1265.5054347826087</v>
      </c>
      <c r="R39" s="162"/>
    </row>
    <row r="40" spans="1:73" ht="21" customHeight="1" x14ac:dyDescent="0.2">
      <c r="A40" s="174" t="s">
        <v>47</v>
      </c>
      <c r="B40" s="104" t="s">
        <v>16</v>
      </c>
      <c r="C40" s="78">
        <v>6.4</v>
      </c>
      <c r="D40" s="78">
        <v>5.8</v>
      </c>
      <c r="E40" s="63">
        <v>5.7</v>
      </c>
      <c r="F40" s="63">
        <v>5</v>
      </c>
      <c r="G40" s="63">
        <v>4.3</v>
      </c>
      <c r="H40" s="78">
        <v>11.5</v>
      </c>
      <c r="I40" s="78">
        <v>9.6</v>
      </c>
      <c r="J40" s="63">
        <v>10.488</v>
      </c>
      <c r="K40" s="63">
        <v>9.6649999999999991</v>
      </c>
      <c r="L40" s="63">
        <v>7.9936999999999996</v>
      </c>
      <c r="M40" s="83">
        <f t="shared" si="17"/>
        <v>1796.875</v>
      </c>
      <c r="N40" s="83">
        <f t="shared" si="18"/>
        <v>1655.1724137931035</v>
      </c>
      <c r="O40" s="83">
        <f t="shared" si="19"/>
        <v>1839.9999999999998</v>
      </c>
      <c r="P40" s="83">
        <f t="shared" si="20"/>
        <v>1932.9999999999998</v>
      </c>
      <c r="Q40" s="83">
        <f t="shared" si="20"/>
        <v>1859</v>
      </c>
      <c r="R40" s="16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8.75" hidden="1" customHeight="1" x14ac:dyDescent="0.2">
      <c r="A41" s="174" t="s">
        <v>27</v>
      </c>
      <c r="B41" s="104" t="s">
        <v>3</v>
      </c>
      <c r="C41" s="78"/>
      <c r="D41" s="78"/>
      <c r="E41" s="63"/>
      <c r="F41" s="63"/>
      <c r="G41" s="63"/>
      <c r="H41" s="78"/>
      <c r="I41" s="78"/>
      <c r="J41" s="63"/>
      <c r="K41" s="63"/>
      <c r="L41" s="63"/>
      <c r="M41" s="83" t="e">
        <f t="shared" si="17"/>
        <v>#DIV/0!</v>
      </c>
      <c r="N41" s="83" t="e">
        <f t="shared" si="18"/>
        <v>#DIV/0!</v>
      </c>
      <c r="O41" s="83" t="e">
        <f t="shared" si="19"/>
        <v>#DIV/0!</v>
      </c>
      <c r="P41" s="83" t="e">
        <f t="shared" si="20"/>
        <v>#DIV/0!</v>
      </c>
      <c r="Q41" s="83" t="e">
        <f t="shared" si="20"/>
        <v>#DIV/0!</v>
      </c>
      <c r="R41" s="16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21" customHeight="1" x14ac:dyDescent="0.2">
      <c r="A42" s="223" t="s">
        <v>48</v>
      </c>
      <c r="B42" s="104" t="s">
        <v>2</v>
      </c>
      <c r="C42" s="78">
        <v>1.96</v>
      </c>
      <c r="D42" s="78">
        <v>1.96</v>
      </c>
      <c r="E42" s="63">
        <v>0.54</v>
      </c>
      <c r="F42" s="63">
        <v>0.49</v>
      </c>
      <c r="G42" s="63">
        <v>0.17</v>
      </c>
      <c r="H42" s="78">
        <v>2.77</v>
      </c>
      <c r="I42" s="78">
        <v>1.68</v>
      </c>
      <c r="J42" s="63">
        <v>1.04976</v>
      </c>
      <c r="K42" s="63">
        <v>0.84965999999999997</v>
      </c>
      <c r="L42" s="63">
        <v>0.16914999999999999</v>
      </c>
      <c r="M42" s="83">
        <f t="shared" si="17"/>
        <v>1413.2653061224489</v>
      </c>
      <c r="N42" s="83">
        <f t="shared" si="18"/>
        <v>857.14285714285711</v>
      </c>
      <c r="O42" s="83">
        <f t="shared" si="19"/>
        <v>1944</v>
      </c>
      <c r="P42" s="83">
        <f t="shared" si="20"/>
        <v>1734</v>
      </c>
      <c r="Q42" s="83">
        <f t="shared" si="20"/>
        <v>994.99999999999989</v>
      </c>
      <c r="R42" s="16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21" customHeight="1" x14ac:dyDescent="0.2">
      <c r="A43" s="223"/>
      <c r="B43" s="104" t="s">
        <v>21</v>
      </c>
      <c r="C43" s="78">
        <v>6.33</v>
      </c>
      <c r="D43" s="78">
        <v>5.49</v>
      </c>
      <c r="E43" s="63">
        <v>6.21</v>
      </c>
      <c r="F43" s="63">
        <v>4.5599999999999996</v>
      </c>
      <c r="G43" s="63">
        <v>4.08</v>
      </c>
      <c r="H43" s="78">
        <v>6.02</v>
      </c>
      <c r="I43" s="78">
        <v>1.24</v>
      </c>
      <c r="J43" s="63">
        <v>4.9369499999999995</v>
      </c>
      <c r="K43" s="63">
        <v>2.6311199999999997</v>
      </c>
      <c r="L43" s="63">
        <v>3.66384</v>
      </c>
      <c r="M43" s="83">
        <f t="shared" si="17"/>
        <v>951.02685624012634</v>
      </c>
      <c r="N43" s="83">
        <f t="shared" si="18"/>
        <v>225.86520947176683</v>
      </c>
      <c r="O43" s="83">
        <f t="shared" si="19"/>
        <v>794.99999999999989</v>
      </c>
      <c r="P43" s="83">
        <f t="shared" si="20"/>
        <v>577</v>
      </c>
      <c r="Q43" s="83">
        <f t="shared" si="20"/>
        <v>898</v>
      </c>
      <c r="R43" s="16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s="60" customFormat="1" ht="21" customHeight="1" x14ac:dyDescent="0.25">
      <c r="A44" s="223"/>
      <c r="B44" s="105" t="s">
        <v>4</v>
      </c>
      <c r="C44" s="80">
        <f t="shared" ref="C44:I44" si="23">C43+C42</f>
        <v>8.2899999999999991</v>
      </c>
      <c r="D44" s="80">
        <f t="shared" si="23"/>
        <v>7.45</v>
      </c>
      <c r="E44" s="103">
        <f>E42+E43</f>
        <v>6.75</v>
      </c>
      <c r="F44" s="103">
        <v>5.43</v>
      </c>
      <c r="G44" s="103">
        <v>4.25</v>
      </c>
      <c r="H44" s="80">
        <f t="shared" si="23"/>
        <v>8.7899999999999991</v>
      </c>
      <c r="I44" s="80">
        <f t="shared" si="23"/>
        <v>2.92</v>
      </c>
      <c r="J44" s="103">
        <f>J42+J43</f>
        <v>5.9867099999999995</v>
      </c>
      <c r="K44" s="103">
        <v>3.4807799999999998</v>
      </c>
      <c r="L44" s="103">
        <v>3.8329900000000001</v>
      </c>
      <c r="M44" s="84">
        <f t="shared" si="17"/>
        <v>1060.313630880579</v>
      </c>
      <c r="N44" s="84">
        <f t="shared" si="18"/>
        <v>391.94630872483219</v>
      </c>
      <c r="O44" s="84">
        <f t="shared" si="19"/>
        <v>886.92</v>
      </c>
      <c r="P44" s="84">
        <f t="shared" si="20"/>
        <v>641.02762430939231</v>
      </c>
      <c r="Q44" s="84">
        <f t="shared" si="20"/>
        <v>901.88</v>
      </c>
      <c r="R44" s="162"/>
    </row>
    <row r="45" spans="1:73" ht="21" customHeight="1" x14ac:dyDescent="0.2">
      <c r="A45" s="230" t="s">
        <v>103</v>
      </c>
      <c r="B45" s="104" t="s">
        <v>2</v>
      </c>
      <c r="C45" s="78">
        <v>1</v>
      </c>
      <c r="D45" s="78">
        <v>1</v>
      </c>
      <c r="E45" s="63">
        <v>1</v>
      </c>
      <c r="F45" s="63">
        <v>0</v>
      </c>
      <c r="G45" s="63">
        <v>0</v>
      </c>
      <c r="H45" s="78">
        <v>1</v>
      </c>
      <c r="I45" s="78">
        <v>1</v>
      </c>
      <c r="J45" s="63">
        <v>2.1190000000000002</v>
      </c>
      <c r="K45" s="63">
        <v>0</v>
      </c>
      <c r="L45" s="63">
        <v>0</v>
      </c>
      <c r="M45" s="83">
        <f t="shared" si="17"/>
        <v>1000</v>
      </c>
      <c r="N45" s="83">
        <f t="shared" si="18"/>
        <v>1000</v>
      </c>
      <c r="O45" s="83">
        <f t="shared" si="19"/>
        <v>2119</v>
      </c>
      <c r="P45" s="83" t="e">
        <f t="shared" si="20"/>
        <v>#DIV/0!</v>
      </c>
      <c r="Q45" s="83" t="e">
        <f t="shared" si="20"/>
        <v>#DIV/0!</v>
      </c>
      <c r="R45" s="16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21" customHeight="1" x14ac:dyDescent="0.2">
      <c r="A46" s="230"/>
      <c r="B46" s="104" t="s">
        <v>21</v>
      </c>
      <c r="C46" s="78">
        <v>11</v>
      </c>
      <c r="D46" s="78">
        <v>5</v>
      </c>
      <c r="E46" s="63">
        <v>3</v>
      </c>
      <c r="F46" s="63">
        <v>2</v>
      </c>
      <c r="G46" s="63">
        <v>4</v>
      </c>
      <c r="H46" s="78">
        <v>12</v>
      </c>
      <c r="I46" s="78">
        <v>9</v>
      </c>
      <c r="J46" s="63">
        <v>6.4050000000000002</v>
      </c>
      <c r="K46" s="63">
        <v>3.92</v>
      </c>
      <c r="L46" s="63">
        <v>8.9239999999999995</v>
      </c>
      <c r="M46" s="83">
        <f t="shared" si="17"/>
        <v>1090.9090909090908</v>
      </c>
      <c r="N46" s="83">
        <f t="shared" si="18"/>
        <v>1800</v>
      </c>
      <c r="O46" s="83">
        <f t="shared" si="19"/>
        <v>2135.0000000000005</v>
      </c>
      <c r="P46" s="83">
        <f t="shared" si="20"/>
        <v>1960</v>
      </c>
      <c r="Q46" s="83">
        <f t="shared" si="20"/>
        <v>2231</v>
      </c>
      <c r="R46" s="16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s="60" customFormat="1" ht="21" customHeight="1" x14ac:dyDescent="0.25">
      <c r="A47" s="230"/>
      <c r="B47" s="105" t="s">
        <v>4</v>
      </c>
      <c r="C47" s="80">
        <f t="shared" ref="C47:J47" si="24">C46+C45</f>
        <v>12</v>
      </c>
      <c r="D47" s="80">
        <f t="shared" si="24"/>
        <v>6</v>
      </c>
      <c r="E47" s="80">
        <f t="shared" si="24"/>
        <v>4</v>
      </c>
      <c r="F47" s="80">
        <v>2</v>
      </c>
      <c r="G47" s="80">
        <v>4</v>
      </c>
      <c r="H47" s="80">
        <f t="shared" si="24"/>
        <v>13</v>
      </c>
      <c r="I47" s="80">
        <f t="shared" si="24"/>
        <v>10</v>
      </c>
      <c r="J47" s="80">
        <f t="shared" si="24"/>
        <v>8.5240000000000009</v>
      </c>
      <c r="K47" s="80">
        <v>3.92</v>
      </c>
      <c r="L47" s="80">
        <v>8.9239999999999995</v>
      </c>
      <c r="M47" s="84">
        <f t="shared" si="17"/>
        <v>1083.3333333333333</v>
      </c>
      <c r="N47" s="84">
        <f t="shared" si="18"/>
        <v>1666.6666666666667</v>
      </c>
      <c r="O47" s="84">
        <f t="shared" si="19"/>
        <v>2131</v>
      </c>
      <c r="P47" s="84">
        <f t="shared" si="20"/>
        <v>1960</v>
      </c>
      <c r="Q47" s="84">
        <f t="shared" si="20"/>
        <v>2231</v>
      </c>
      <c r="R47" s="162"/>
    </row>
    <row r="48" spans="1:73" ht="21" customHeight="1" x14ac:dyDescent="0.25">
      <c r="A48" s="174" t="s">
        <v>22</v>
      </c>
      <c r="B48" s="104" t="s">
        <v>3</v>
      </c>
      <c r="C48" s="201">
        <v>2</v>
      </c>
      <c r="D48" s="201">
        <v>3</v>
      </c>
      <c r="E48" s="201">
        <v>2</v>
      </c>
      <c r="F48" s="201">
        <v>1</v>
      </c>
      <c r="G48" s="201">
        <v>4</v>
      </c>
      <c r="H48" s="201">
        <v>4</v>
      </c>
      <c r="I48" s="201">
        <v>4</v>
      </c>
      <c r="J48" s="201">
        <v>2.8839999999999999</v>
      </c>
      <c r="K48" s="201">
        <v>1.365</v>
      </c>
      <c r="L48" s="201">
        <v>5.5279999999999996</v>
      </c>
      <c r="M48" s="203">
        <f t="shared" si="17"/>
        <v>2000</v>
      </c>
      <c r="N48" s="203">
        <f t="shared" si="18"/>
        <v>1333.3333333333333</v>
      </c>
      <c r="O48" s="203">
        <f t="shared" si="19"/>
        <v>1442</v>
      </c>
      <c r="P48" s="203">
        <f t="shared" si="20"/>
        <v>1365</v>
      </c>
      <c r="Q48" s="203">
        <f t="shared" si="20"/>
        <v>1382</v>
      </c>
      <c r="R48" s="16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s="56" customFormat="1" ht="21" hidden="1" customHeight="1" x14ac:dyDescent="0.25">
      <c r="A49" s="230" t="s">
        <v>23</v>
      </c>
      <c r="B49" s="104" t="s">
        <v>2</v>
      </c>
      <c r="C49" s="201">
        <v>0</v>
      </c>
      <c r="D49" s="201">
        <v>0</v>
      </c>
      <c r="E49" s="201">
        <v>0</v>
      </c>
      <c r="F49" s="201">
        <v>0</v>
      </c>
      <c r="G49" s="201">
        <v>0</v>
      </c>
      <c r="H49" s="201">
        <v>0</v>
      </c>
      <c r="I49" s="201">
        <v>0</v>
      </c>
      <c r="J49" s="202">
        <v>0</v>
      </c>
      <c r="K49" s="201">
        <v>0</v>
      </c>
      <c r="L49" s="201">
        <v>0</v>
      </c>
      <c r="M49" s="203" t="e">
        <f t="shared" si="17"/>
        <v>#DIV/0!</v>
      </c>
      <c r="N49" s="203" t="e">
        <f t="shared" si="18"/>
        <v>#DIV/0!</v>
      </c>
      <c r="O49" s="203" t="e">
        <f t="shared" si="19"/>
        <v>#DIV/0!</v>
      </c>
      <c r="P49" s="203" t="e">
        <f t="shared" si="20"/>
        <v>#DIV/0!</v>
      </c>
      <c r="Q49" s="203" t="e">
        <f t="shared" si="20"/>
        <v>#DIV/0!</v>
      </c>
      <c r="R49" s="162"/>
    </row>
    <row r="50" spans="1:73" s="56" customFormat="1" ht="21" customHeight="1" x14ac:dyDescent="0.25">
      <c r="A50" s="230"/>
      <c r="B50" s="104" t="s">
        <v>16</v>
      </c>
      <c r="C50" s="201">
        <v>12</v>
      </c>
      <c r="D50" s="201">
        <v>11.5</v>
      </c>
      <c r="E50" s="201">
        <v>7.5</v>
      </c>
      <c r="F50" s="201">
        <v>8.4540000000000006</v>
      </c>
      <c r="G50" s="201">
        <v>7.8419999999999996</v>
      </c>
      <c r="H50" s="201">
        <v>17</v>
      </c>
      <c r="I50" s="201">
        <v>15.087999999999999</v>
      </c>
      <c r="J50" s="201">
        <v>10.5</v>
      </c>
      <c r="K50" s="201">
        <v>8.0482080000000007</v>
      </c>
      <c r="L50" s="201">
        <v>9.5750820000000001</v>
      </c>
      <c r="M50" s="203">
        <f t="shared" si="17"/>
        <v>1416.6666666666667</v>
      </c>
      <c r="N50" s="203">
        <f t="shared" si="18"/>
        <v>1311.9999999999998</v>
      </c>
      <c r="O50" s="203">
        <f t="shared" si="19"/>
        <v>1400</v>
      </c>
      <c r="P50" s="203">
        <f t="shared" si="20"/>
        <v>952</v>
      </c>
      <c r="Q50" s="203">
        <f t="shared" si="20"/>
        <v>1221</v>
      </c>
      <c r="R50" s="162"/>
    </row>
    <row r="51" spans="1:73" s="70" customFormat="1" ht="21" customHeight="1" x14ac:dyDescent="0.25">
      <c r="A51" s="230"/>
      <c r="B51" s="104" t="s">
        <v>4</v>
      </c>
      <c r="C51" s="201">
        <f t="shared" ref="C51:J51" si="25">C49+C50</f>
        <v>12</v>
      </c>
      <c r="D51" s="201">
        <f t="shared" si="25"/>
        <v>11.5</v>
      </c>
      <c r="E51" s="201">
        <f t="shared" si="25"/>
        <v>7.5</v>
      </c>
      <c r="F51" s="201">
        <v>8.4540000000000006</v>
      </c>
      <c r="G51" s="201">
        <v>7.8419999999999996</v>
      </c>
      <c r="H51" s="201">
        <f t="shared" si="25"/>
        <v>17</v>
      </c>
      <c r="I51" s="201">
        <f t="shared" si="25"/>
        <v>15.087999999999999</v>
      </c>
      <c r="J51" s="201">
        <f t="shared" si="25"/>
        <v>10.5</v>
      </c>
      <c r="K51" s="201">
        <v>8.0482080000000007</v>
      </c>
      <c r="L51" s="201">
        <v>9.5750820000000001</v>
      </c>
      <c r="M51" s="203">
        <f t="shared" si="17"/>
        <v>1416.6666666666667</v>
      </c>
      <c r="N51" s="203">
        <f t="shared" si="18"/>
        <v>1311.9999999999998</v>
      </c>
      <c r="O51" s="203">
        <f t="shared" si="19"/>
        <v>1400</v>
      </c>
      <c r="P51" s="203">
        <f t="shared" si="20"/>
        <v>952</v>
      </c>
      <c r="Q51" s="203">
        <f t="shared" si="20"/>
        <v>1221</v>
      </c>
      <c r="R51" s="162"/>
    </row>
    <row r="52" spans="1:73" ht="21" customHeight="1" x14ac:dyDescent="0.2">
      <c r="A52" s="230" t="s">
        <v>24</v>
      </c>
      <c r="B52" s="107" t="s">
        <v>2</v>
      </c>
      <c r="C52" s="80">
        <f>C45+C42+C37+C34+C31+C28+C25+C22+C13+C10+C9+C6+C19+C49</f>
        <v>157.33000000000001</v>
      </c>
      <c r="D52" s="80">
        <f t="shared" ref="D52:K52" si="26">D45+D42+D37+D34+D31+D28+D25+D22+D13+D10+D9+D6+D19+D49</f>
        <v>173.38399999999999</v>
      </c>
      <c r="E52" s="80">
        <f t="shared" si="26"/>
        <v>135.255</v>
      </c>
      <c r="F52" s="80">
        <f t="shared" si="26"/>
        <v>117.86699999999999</v>
      </c>
      <c r="G52" s="80">
        <f t="shared" ref="G52" si="27">G45+G42+G37+G34+G31+G28+G25+G22+G13+G10+G9+G6+G19+G49</f>
        <v>125.42999999999999</v>
      </c>
      <c r="H52" s="80">
        <f t="shared" si="26"/>
        <v>66.242400000000004</v>
      </c>
      <c r="I52" s="80">
        <f t="shared" si="26"/>
        <v>98.304000000000002</v>
      </c>
      <c r="J52" s="80">
        <f t="shared" si="26"/>
        <v>84.752076000000002</v>
      </c>
      <c r="K52" s="80">
        <f t="shared" si="26"/>
        <v>90.281942337726534</v>
      </c>
      <c r="L52" s="80">
        <f t="shared" ref="L52" si="28">L45+L42+L37+L34+L31+L28+L25+L22+L13+L10+L9+L6+L19+L49</f>
        <v>91.737895000000009</v>
      </c>
      <c r="M52" s="84">
        <f t="shared" si="17"/>
        <v>421.04112375262184</v>
      </c>
      <c r="N52" s="84">
        <f t="shared" si="18"/>
        <v>566.97273104784767</v>
      </c>
      <c r="O52" s="84">
        <f t="shared" si="19"/>
        <v>626.60955972052784</v>
      </c>
      <c r="P52" s="84">
        <f t="shared" si="20"/>
        <v>765.96453916470716</v>
      </c>
      <c r="Q52" s="84">
        <f t="shared" si="20"/>
        <v>731.38718807302894</v>
      </c>
      <c r="R52" s="16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21" customHeight="1" x14ac:dyDescent="0.2">
      <c r="A53" s="230"/>
      <c r="B53" s="104" t="s">
        <v>21</v>
      </c>
      <c r="C53" s="80">
        <f>C48+C46+C43+C40+C38+C35+C32+C29+C26+C23+C11+C7+C14+C50+C20</f>
        <v>329.46100000000001</v>
      </c>
      <c r="D53" s="80">
        <f>D48+D46+D43+D40+D38+D35+D32+D29+D26+D23+D11+D7+D14+D50+D20</f>
        <v>207.726</v>
      </c>
      <c r="E53" s="80">
        <f>E48+E46+E43+E40+E38+E35+E32+E29+E26+E23+E11+E7+E14+E50+E20</f>
        <v>148.25</v>
      </c>
      <c r="F53" s="127">
        <f>F48+F46+F43+F40+F38+F35+F32+F29+F26+F23+F11+F7+F14+F50+F20+F17</f>
        <v>144.14099999999999</v>
      </c>
      <c r="G53" s="127">
        <f>G48+G46+G43+G40+G38+G35+G32+G29+G26+G23+G11+G7+G14+G50+G20+G17</f>
        <v>102.85399999999998</v>
      </c>
      <c r="H53" s="80">
        <f>H48+H46+H43+H40+H38+H35+H32+H29+H26+H23+H11+H7+H14+H50+H20</f>
        <v>230.05425</v>
      </c>
      <c r="I53" s="80">
        <f>I48+I46+I43+I40+I38+I35+I32+I29+I26+I23+I11+I7+I14+I50+I20</f>
        <v>153.08000000000001</v>
      </c>
      <c r="J53" s="80">
        <f>J48+J46+J43+J40+J38+J35+J32+J29+J26+J23+J11+J7+J14+J50+J20</f>
        <v>136.91180199999999</v>
      </c>
      <c r="K53" s="80">
        <f>K48+K46+K43+K40+K38+K35+K32+K29+K26+K23+K11+K7+K14+K50+K20+K17</f>
        <v>126.00735299999999</v>
      </c>
      <c r="L53" s="80">
        <f>L48+L46+L43+L40+L38+L35+L32+L29+L26+L23+L11+L7+L14+L50+L20+L17</f>
        <v>120.79627799999999</v>
      </c>
      <c r="M53" s="84">
        <f t="shared" si="17"/>
        <v>698.27460609905268</v>
      </c>
      <c r="N53" s="84">
        <f t="shared" si="18"/>
        <v>736.93230505569841</v>
      </c>
      <c r="O53" s="84">
        <f t="shared" si="19"/>
        <v>923.51974367622256</v>
      </c>
      <c r="P53" s="84">
        <f t="shared" si="20"/>
        <v>874.19507981767856</v>
      </c>
      <c r="Q53" s="84">
        <f t="shared" si="20"/>
        <v>1174.4441441266263</v>
      </c>
      <c r="R53" s="16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s="60" customFormat="1" ht="21" customHeight="1" x14ac:dyDescent="0.25">
      <c r="A54" s="230"/>
      <c r="B54" s="105" t="s">
        <v>4</v>
      </c>
      <c r="C54" s="80">
        <f t="shared" ref="C54:J54" si="29">C53+C52</f>
        <v>486.79100000000005</v>
      </c>
      <c r="D54" s="80">
        <f t="shared" si="29"/>
        <v>381.11</v>
      </c>
      <c r="E54" s="80">
        <f t="shared" si="29"/>
        <v>283.505</v>
      </c>
      <c r="F54" s="80">
        <f t="shared" ref="F54:G54" si="30">F53+F52</f>
        <v>262.00799999999998</v>
      </c>
      <c r="G54" s="80">
        <f t="shared" si="30"/>
        <v>228.28399999999999</v>
      </c>
      <c r="H54" s="80">
        <f t="shared" si="29"/>
        <v>296.29665</v>
      </c>
      <c r="I54" s="80">
        <f t="shared" si="29"/>
        <v>251.38400000000001</v>
      </c>
      <c r="J54" s="80">
        <f t="shared" si="29"/>
        <v>221.66387800000001</v>
      </c>
      <c r="K54" s="80">
        <f t="shared" ref="K54:L54" si="31">K53+K52</f>
        <v>216.28929533772651</v>
      </c>
      <c r="L54" s="80">
        <f t="shared" si="31"/>
        <v>212.53417300000001</v>
      </c>
      <c r="M54" s="84">
        <f t="shared" si="17"/>
        <v>608.67322937359143</v>
      </c>
      <c r="N54" s="84">
        <f t="shared" si="18"/>
        <v>659.61008632678227</v>
      </c>
      <c r="O54" s="84">
        <f t="shared" si="19"/>
        <v>781.8693779651154</v>
      </c>
      <c r="P54" s="84">
        <f t="shared" si="20"/>
        <v>825.50645529039775</v>
      </c>
      <c r="Q54" s="84">
        <f t="shared" si="20"/>
        <v>931.00774911951794</v>
      </c>
      <c r="R54" s="162"/>
    </row>
    <row r="55" spans="1:73" ht="18" customHeight="1" x14ac:dyDescent="0.2">
      <c r="A55" s="38"/>
      <c r="B55" s="8"/>
      <c r="C55" s="8"/>
      <c r="D55" s="8"/>
      <c r="E55" s="62"/>
      <c r="F55" s="62"/>
      <c r="G55" s="62"/>
      <c r="H55" s="8"/>
      <c r="I55" s="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29.25" customHeight="1" x14ac:dyDescent="0.2">
      <c r="A56" s="2"/>
      <c r="B56" s="207"/>
      <c r="C56" s="8"/>
      <c r="D56" s="8"/>
      <c r="E56" s="8"/>
      <c r="F56" s="8"/>
      <c r="G56" s="8"/>
      <c r="H56" s="8"/>
      <c r="I56" s="8"/>
      <c r="J56" s="8"/>
      <c r="K56" s="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29.25" customHeight="1" x14ac:dyDescent="0.2">
      <c r="A57" s="2"/>
      <c r="B57" s="208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29.25" customHeight="1" x14ac:dyDescent="0.2">
      <c r="A58" s="2"/>
      <c r="B58" s="208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29.25" customHeight="1" x14ac:dyDescent="0.2">
      <c r="A59" s="2"/>
      <c r="B59" s="2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29.25" customHeight="1" x14ac:dyDescent="0.2">
      <c r="A60" s="2"/>
      <c r="B60" s="2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29.25" customHeight="1" x14ac:dyDescent="0.2">
      <c r="A61" s="2"/>
      <c r="B61" s="2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29.25" customHeight="1" x14ac:dyDescent="0.2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29.25" customHeight="1" x14ac:dyDescent="0.2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29.25" customHeight="1" x14ac:dyDescent="0.2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29.25" customHeight="1" x14ac:dyDescent="0.2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29.25" customHeight="1" x14ac:dyDescent="0.2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29.25" customHeight="1" x14ac:dyDescent="0.2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29.25" customHeight="1" x14ac:dyDescent="0.2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29.25" customHeight="1" x14ac:dyDescent="0.2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29.25" customHeight="1" x14ac:dyDescent="0.2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29.25" customHeight="1" x14ac:dyDescent="0.2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29.25" customHeight="1" x14ac:dyDescent="0.2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29.25" customHeight="1" x14ac:dyDescent="0.2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29.25" customHeight="1" x14ac:dyDescent="0.2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29.25" customHeight="1" x14ac:dyDescent="0.2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29.25" customHeight="1" x14ac:dyDescent="0.2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29.25" customHeight="1" x14ac:dyDescent="0.2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29.25" customHeight="1" x14ac:dyDescent="0.2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29.25" customHeight="1" x14ac:dyDescent="0.2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29.25" customHeight="1" x14ac:dyDescent="0.2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29.25" customHeight="1" x14ac:dyDescent="0.2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29.25" customHeight="1" x14ac:dyDescent="0.2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29.25" customHeight="1" x14ac:dyDescent="0.2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29.25" customHeight="1" x14ac:dyDescent="0.2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29.25" customHeight="1" x14ac:dyDescent="0.2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29.25" customHeight="1" x14ac:dyDescent="0.2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29.25" customHeight="1" x14ac:dyDescent="0.2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29.25" customHeight="1" x14ac:dyDescent="0.2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29.25" customHeight="1" x14ac:dyDescent="0.2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29.25" customHeight="1" x14ac:dyDescent="0.2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29.25" customHeight="1" x14ac:dyDescent="0.2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29.25" customHeight="1" x14ac:dyDescent="0.2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29.25" customHeight="1" x14ac:dyDescent="0.2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29.25" customHeight="1" x14ac:dyDescent="0.2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29.25" customHeight="1" x14ac:dyDescent="0.2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29.25" customHeight="1" x14ac:dyDescent="0.2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29.25" customHeight="1" x14ac:dyDescent="0.2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29.25" customHeight="1" x14ac:dyDescent="0.2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29.25" customHeight="1" x14ac:dyDescent="0.2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29.25" customHeight="1" x14ac:dyDescent="0.2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29.25" customHeight="1" x14ac:dyDescent="0.2">
      <c r="A101" s="2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29.25" customHeight="1" x14ac:dyDescent="0.2">
      <c r="A102" s="2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29.25" customHeight="1" x14ac:dyDescent="0.2">
      <c r="A103" s="2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29.25" customHeight="1" x14ac:dyDescent="0.2">
      <c r="A104" s="2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29.25" customHeight="1" x14ac:dyDescent="0.2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29.25" customHeight="1" x14ac:dyDescent="0.2">
      <c r="A106" s="2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29.25" customHeight="1" x14ac:dyDescent="0.2">
      <c r="A107" s="2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29.25" customHeight="1" x14ac:dyDescent="0.2">
      <c r="A108" s="2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29.25" customHeight="1" x14ac:dyDescent="0.2">
      <c r="A109" s="2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29.25" customHeight="1" x14ac:dyDescent="0.2">
      <c r="A110" s="2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29.25" customHeight="1" x14ac:dyDescent="0.2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29.25" customHeight="1" x14ac:dyDescent="0.2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29.25" customHeight="1" x14ac:dyDescent="0.2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29.25" customHeight="1" x14ac:dyDescent="0.2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29.25" customHeight="1" x14ac:dyDescent="0.2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29.25" customHeight="1" x14ac:dyDescent="0.2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29.25" customHeight="1" x14ac:dyDescent="0.2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29.25" customHeight="1" x14ac:dyDescent="0.2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29.25" customHeight="1" x14ac:dyDescent="0.2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29.25" customHeight="1" x14ac:dyDescent="0.2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29.25" customHeight="1" x14ac:dyDescent="0.2">
      <c r="A121" s="2"/>
      <c r="B121" s="2"/>
      <c r="C121" s="1"/>
      <c r="D121" s="1"/>
      <c r="H121" s="1"/>
      <c r="I121" s="1"/>
      <c r="M121" s="1"/>
      <c r="N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29.25" customHeight="1" x14ac:dyDescent="0.2">
      <c r="A122" s="2"/>
      <c r="B122" s="2"/>
      <c r="C122" s="1"/>
      <c r="D122" s="1"/>
      <c r="H122" s="1"/>
      <c r="I122" s="1"/>
      <c r="M122" s="1"/>
      <c r="N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s="2" customFormat="1" ht="29.25" customHeight="1" x14ac:dyDescent="0.2"/>
    <row r="124" spans="1:73" s="2" customFormat="1" ht="29.25" customHeight="1" x14ac:dyDescent="0.2"/>
    <row r="125" spans="1:73" s="2" customFormat="1" ht="29.25" customHeight="1" x14ac:dyDescent="0.2"/>
    <row r="126" spans="1:73" s="2" customFormat="1" ht="29.25" customHeight="1" x14ac:dyDescent="0.2"/>
    <row r="127" spans="1:73" s="2" customFormat="1" ht="29.25" customHeight="1" x14ac:dyDescent="0.2"/>
    <row r="128" spans="1:73" s="2" customFormat="1" ht="29.25" customHeight="1" x14ac:dyDescent="0.2"/>
    <row r="129" s="2" customFormat="1" ht="29.25" customHeight="1" x14ac:dyDescent="0.2"/>
    <row r="130" s="2" customFormat="1" ht="29.25" customHeight="1" x14ac:dyDescent="0.2"/>
    <row r="131" s="2" customFormat="1" ht="29.25" customHeight="1" x14ac:dyDescent="0.2"/>
    <row r="132" s="2" customFormat="1" ht="29.25" customHeight="1" x14ac:dyDescent="0.2"/>
    <row r="133" s="2" customFormat="1" ht="29.25" customHeight="1" x14ac:dyDescent="0.2"/>
    <row r="134" s="2" customFormat="1" ht="29.25" customHeight="1" x14ac:dyDescent="0.2"/>
    <row r="135" s="2" customFormat="1" ht="29.25" customHeight="1" x14ac:dyDescent="0.2"/>
    <row r="136" s="2" customFormat="1" ht="29.25" customHeight="1" x14ac:dyDescent="0.2"/>
    <row r="137" s="2" customFormat="1" ht="29.25" customHeight="1" x14ac:dyDescent="0.2"/>
    <row r="138" s="2" customFormat="1" ht="29.25" customHeight="1" x14ac:dyDescent="0.2"/>
    <row r="139" s="2" customFormat="1" ht="29.25" customHeight="1" x14ac:dyDescent="0.2"/>
    <row r="140" s="2" customFormat="1" ht="29.25" customHeight="1" x14ac:dyDescent="0.2"/>
    <row r="141" s="2" customFormat="1" ht="29.25" customHeight="1" x14ac:dyDescent="0.2"/>
    <row r="142" s="2" customFormat="1" ht="29.25" customHeight="1" x14ac:dyDescent="0.2"/>
    <row r="143" s="2" customFormat="1" ht="29.25" customHeight="1" x14ac:dyDescent="0.2"/>
    <row r="144" s="2" customFormat="1" ht="29.25" customHeight="1" x14ac:dyDescent="0.2"/>
    <row r="145" s="2" customFormat="1" ht="29.25" customHeight="1" x14ac:dyDescent="0.2"/>
    <row r="146" s="2" customFormat="1" ht="29.25" customHeight="1" x14ac:dyDescent="0.2"/>
    <row r="147" s="2" customFormat="1" ht="29.25" customHeight="1" x14ac:dyDescent="0.2"/>
    <row r="148" s="2" customFormat="1" ht="29.25" customHeight="1" x14ac:dyDescent="0.2"/>
    <row r="149" s="2" customFormat="1" ht="29.25" customHeight="1" x14ac:dyDescent="0.2"/>
    <row r="150" s="2" customFormat="1" ht="29.25" customHeight="1" x14ac:dyDescent="0.2"/>
    <row r="151" s="2" customFormat="1" ht="29.25" customHeight="1" x14ac:dyDescent="0.2"/>
    <row r="152" s="2" customFormat="1" ht="29.25" customHeight="1" x14ac:dyDescent="0.2"/>
    <row r="153" s="2" customFormat="1" ht="29.25" customHeight="1" x14ac:dyDescent="0.2"/>
    <row r="154" s="2" customFormat="1" ht="29.25" customHeight="1" x14ac:dyDescent="0.2"/>
    <row r="155" s="2" customFormat="1" ht="29.25" customHeight="1" x14ac:dyDescent="0.2"/>
    <row r="156" s="2" customFormat="1" ht="29.25" customHeight="1" x14ac:dyDescent="0.2"/>
    <row r="157" s="2" customFormat="1" ht="29.25" customHeight="1" x14ac:dyDescent="0.2"/>
    <row r="158" s="2" customFormat="1" ht="29.25" customHeight="1" x14ac:dyDescent="0.2"/>
    <row r="159" s="2" customFormat="1" ht="29.25" customHeight="1" x14ac:dyDescent="0.2"/>
    <row r="160" s="2" customFormat="1" ht="29.25" customHeight="1" x14ac:dyDescent="0.2"/>
    <row r="161" s="2" customFormat="1" ht="29.25" customHeight="1" x14ac:dyDescent="0.2"/>
    <row r="162" s="2" customFormat="1" ht="29.25" customHeight="1" x14ac:dyDescent="0.2"/>
    <row r="163" s="2" customFormat="1" ht="29.25" customHeight="1" x14ac:dyDescent="0.2"/>
    <row r="164" s="2" customFormat="1" ht="29.25" customHeight="1" x14ac:dyDescent="0.2"/>
    <row r="165" s="2" customFormat="1" ht="29.25" customHeight="1" x14ac:dyDescent="0.2"/>
    <row r="166" s="2" customFormat="1" ht="29.25" customHeight="1" x14ac:dyDescent="0.2"/>
    <row r="167" s="2" customFormat="1" ht="29.25" customHeight="1" x14ac:dyDescent="0.2"/>
    <row r="168" s="2" customFormat="1" ht="29.25" customHeight="1" x14ac:dyDescent="0.2"/>
    <row r="169" s="2" customFormat="1" ht="29.25" customHeight="1" x14ac:dyDescent="0.2"/>
    <row r="170" s="2" customFormat="1" ht="29.25" customHeight="1" x14ac:dyDescent="0.2"/>
    <row r="171" s="2" customFormat="1" ht="29.25" customHeight="1" x14ac:dyDescent="0.2"/>
    <row r="172" s="2" customFormat="1" ht="29.25" customHeight="1" x14ac:dyDescent="0.2"/>
    <row r="173" s="2" customFormat="1" ht="29.25" customHeight="1" x14ac:dyDescent="0.2"/>
    <row r="174" s="2" customFormat="1" ht="29.25" customHeight="1" x14ac:dyDescent="0.2"/>
    <row r="175" s="2" customFormat="1" ht="29.25" customHeight="1" x14ac:dyDescent="0.2"/>
    <row r="176" s="2" customFormat="1" ht="29.25" customHeight="1" x14ac:dyDescent="0.2"/>
    <row r="177" s="2" customFormat="1" ht="29.25" customHeight="1" x14ac:dyDescent="0.2"/>
    <row r="178" s="2" customFormat="1" ht="29.25" customHeight="1" x14ac:dyDescent="0.2"/>
    <row r="179" s="2" customFormat="1" ht="29.25" customHeight="1" x14ac:dyDescent="0.2"/>
    <row r="180" s="2" customFormat="1" ht="29.25" customHeight="1" x14ac:dyDescent="0.2"/>
    <row r="181" s="2" customFormat="1" ht="29.25" customHeight="1" x14ac:dyDescent="0.2"/>
    <row r="182" s="2" customFormat="1" ht="29.25" customHeight="1" x14ac:dyDescent="0.2"/>
    <row r="183" s="2" customFormat="1" ht="29.25" customHeight="1" x14ac:dyDescent="0.2"/>
    <row r="184" s="2" customFormat="1" ht="29.25" customHeight="1" x14ac:dyDescent="0.2"/>
    <row r="185" s="2" customFormat="1" ht="29.25" customHeight="1" x14ac:dyDescent="0.2"/>
    <row r="186" s="2" customFormat="1" ht="29.25" customHeight="1" x14ac:dyDescent="0.2"/>
    <row r="187" s="2" customFormat="1" ht="29.25" customHeight="1" x14ac:dyDescent="0.2"/>
    <row r="188" s="2" customFormat="1" ht="29.25" customHeight="1" x14ac:dyDescent="0.2"/>
    <row r="189" s="2" customFormat="1" ht="29.25" customHeight="1" x14ac:dyDescent="0.2"/>
    <row r="190" s="2" customFormat="1" ht="29.25" customHeight="1" x14ac:dyDescent="0.2"/>
    <row r="191" s="2" customFormat="1" ht="29.25" customHeight="1" x14ac:dyDescent="0.2"/>
    <row r="192" s="2" customFormat="1" ht="29.25" customHeight="1" x14ac:dyDescent="0.2"/>
    <row r="193" s="2" customFormat="1" ht="29.25" customHeight="1" x14ac:dyDescent="0.2"/>
    <row r="194" s="2" customFormat="1" ht="29.25" customHeight="1" x14ac:dyDescent="0.2"/>
    <row r="195" s="2" customFormat="1" ht="29.25" customHeight="1" x14ac:dyDescent="0.2"/>
    <row r="196" s="2" customFormat="1" ht="29.25" customHeight="1" x14ac:dyDescent="0.2"/>
    <row r="197" s="2" customFormat="1" ht="29.25" customHeight="1" x14ac:dyDescent="0.2"/>
    <row r="198" s="2" customFormat="1" ht="29.25" customHeight="1" x14ac:dyDescent="0.2"/>
    <row r="199" s="2" customFormat="1" ht="29.25" customHeight="1" x14ac:dyDescent="0.2"/>
    <row r="200" s="2" customFormat="1" ht="29.25" customHeight="1" x14ac:dyDescent="0.2"/>
    <row r="201" s="2" customFormat="1" ht="29.25" customHeight="1" x14ac:dyDescent="0.2"/>
    <row r="202" s="2" customFormat="1" ht="29.25" customHeight="1" x14ac:dyDescent="0.2"/>
    <row r="203" s="2" customFormat="1" ht="29.25" customHeight="1" x14ac:dyDescent="0.2"/>
    <row r="204" s="2" customFormat="1" ht="29.25" customHeight="1" x14ac:dyDescent="0.2"/>
    <row r="205" s="2" customFormat="1" ht="29.25" customHeight="1" x14ac:dyDescent="0.2"/>
    <row r="206" s="2" customFormat="1" ht="29.25" customHeight="1" x14ac:dyDescent="0.2"/>
    <row r="207" s="2" customFormat="1" ht="29.25" customHeight="1" x14ac:dyDescent="0.2"/>
    <row r="208" s="2" customFormat="1" ht="29.25" customHeight="1" x14ac:dyDescent="0.2"/>
    <row r="209" s="2" customFormat="1" ht="29.25" customHeight="1" x14ac:dyDescent="0.2"/>
    <row r="210" s="2" customFormat="1" ht="29.25" customHeight="1" x14ac:dyDescent="0.2"/>
    <row r="211" s="2" customFormat="1" ht="29.25" customHeight="1" x14ac:dyDescent="0.2"/>
    <row r="212" s="2" customFormat="1" ht="29.25" customHeight="1" x14ac:dyDescent="0.2"/>
    <row r="213" s="2" customFormat="1" ht="29.25" customHeight="1" x14ac:dyDescent="0.2"/>
    <row r="214" s="2" customFormat="1" ht="29.25" customHeight="1" x14ac:dyDescent="0.2"/>
    <row r="215" s="2" customFormat="1" ht="29.25" customHeight="1" x14ac:dyDescent="0.2"/>
    <row r="216" s="2" customFormat="1" ht="29.25" customHeight="1" x14ac:dyDescent="0.2"/>
    <row r="217" s="2" customFormat="1" ht="29.25" customHeight="1" x14ac:dyDescent="0.2"/>
    <row r="218" s="2" customFormat="1" ht="29.25" customHeight="1" x14ac:dyDescent="0.2"/>
    <row r="219" s="2" customFormat="1" ht="29.25" customHeight="1" x14ac:dyDescent="0.2"/>
    <row r="220" s="2" customFormat="1" ht="29.25" customHeight="1" x14ac:dyDescent="0.2"/>
    <row r="221" s="2" customFormat="1" ht="29.25" customHeight="1" x14ac:dyDescent="0.2"/>
    <row r="222" s="2" customFormat="1" ht="29.25" customHeight="1" x14ac:dyDescent="0.2"/>
    <row r="223" s="2" customFormat="1" ht="29.25" customHeight="1" x14ac:dyDescent="0.2"/>
    <row r="224" s="2" customFormat="1" ht="29.25" customHeight="1" x14ac:dyDescent="0.2"/>
    <row r="225" s="2" customFormat="1" ht="29.25" customHeight="1" x14ac:dyDescent="0.2"/>
    <row r="226" s="2" customFormat="1" ht="29.25" customHeight="1" x14ac:dyDescent="0.2"/>
    <row r="227" s="2" customFormat="1" ht="29.25" customHeight="1" x14ac:dyDescent="0.2"/>
    <row r="228" s="2" customFormat="1" ht="29.25" customHeight="1" x14ac:dyDescent="0.2"/>
    <row r="229" s="2" customFormat="1" ht="29.25" customHeight="1" x14ac:dyDescent="0.2"/>
    <row r="230" s="2" customFormat="1" ht="29.25" customHeight="1" x14ac:dyDescent="0.2"/>
    <row r="231" s="2" customFormat="1" ht="29.25" customHeight="1" x14ac:dyDescent="0.2"/>
    <row r="232" s="2" customFormat="1" ht="29.25" customHeight="1" x14ac:dyDescent="0.2"/>
    <row r="233" s="2" customFormat="1" ht="29.25" customHeight="1" x14ac:dyDescent="0.2"/>
    <row r="234" s="2" customFormat="1" ht="29.25" customHeight="1" x14ac:dyDescent="0.2"/>
    <row r="235" s="2" customFormat="1" ht="29.25" customHeight="1" x14ac:dyDescent="0.2"/>
    <row r="236" s="2" customFormat="1" ht="29.25" customHeight="1" x14ac:dyDescent="0.2"/>
    <row r="237" s="2" customFormat="1" ht="29.25" customHeight="1" x14ac:dyDescent="0.2"/>
    <row r="238" s="2" customFormat="1" ht="29.25" customHeight="1" x14ac:dyDescent="0.2"/>
    <row r="239" s="2" customFormat="1" ht="29.25" customHeight="1" x14ac:dyDescent="0.2"/>
    <row r="240" s="2" customFormat="1" ht="29.25" customHeight="1" x14ac:dyDescent="0.2"/>
    <row r="241" s="2" customFormat="1" ht="29.25" customHeight="1" x14ac:dyDescent="0.2"/>
    <row r="242" s="2" customFormat="1" ht="29.25" customHeight="1" x14ac:dyDescent="0.2"/>
    <row r="243" s="2" customFormat="1" ht="29.25" customHeight="1" x14ac:dyDescent="0.2"/>
    <row r="244" s="2" customFormat="1" ht="29.25" customHeight="1" x14ac:dyDescent="0.2"/>
    <row r="245" s="2" customFormat="1" ht="29.25" customHeight="1" x14ac:dyDescent="0.2"/>
    <row r="246" s="2" customFormat="1" ht="29.25" customHeight="1" x14ac:dyDescent="0.2"/>
    <row r="247" s="2" customFormat="1" ht="29.25" customHeight="1" x14ac:dyDescent="0.2"/>
    <row r="248" s="2" customFormat="1" ht="29.25" customHeight="1" x14ac:dyDescent="0.2"/>
    <row r="249" s="2" customFormat="1" ht="29.25" customHeight="1" x14ac:dyDescent="0.2"/>
    <row r="250" s="2" customFormat="1" ht="29.25" customHeight="1" x14ac:dyDescent="0.2"/>
    <row r="251" s="2" customFormat="1" ht="29.25" customHeight="1" x14ac:dyDescent="0.2"/>
    <row r="252" s="2" customFormat="1" ht="29.25" customHeight="1" x14ac:dyDescent="0.2"/>
    <row r="253" s="2" customFormat="1" ht="29.25" customHeight="1" x14ac:dyDescent="0.2"/>
    <row r="254" s="2" customFormat="1" ht="29.25" customHeight="1" x14ac:dyDescent="0.2"/>
    <row r="255" s="2" customFormat="1" ht="29.25" customHeight="1" x14ac:dyDescent="0.2"/>
    <row r="256" s="2" customFormat="1" ht="29.25" customHeight="1" x14ac:dyDescent="0.2"/>
    <row r="257" s="2" customFormat="1" ht="29.25" customHeight="1" x14ac:dyDescent="0.2"/>
    <row r="258" s="2" customFormat="1" ht="29.25" customHeight="1" x14ac:dyDescent="0.2"/>
    <row r="259" s="2" customFormat="1" ht="29.25" customHeight="1" x14ac:dyDescent="0.2"/>
    <row r="260" s="2" customFormat="1" ht="29.25" customHeight="1" x14ac:dyDescent="0.2"/>
    <row r="261" s="2" customFormat="1" ht="29.25" customHeight="1" x14ac:dyDescent="0.2"/>
    <row r="262" s="2" customFormat="1" ht="29.25" customHeight="1" x14ac:dyDescent="0.2"/>
    <row r="263" s="2" customFormat="1" ht="29.25" customHeight="1" x14ac:dyDescent="0.2"/>
    <row r="264" s="2" customFormat="1" ht="29.25" customHeight="1" x14ac:dyDescent="0.2"/>
    <row r="265" s="2" customFormat="1" ht="29.25" customHeight="1" x14ac:dyDescent="0.2"/>
    <row r="266" s="2" customFormat="1" ht="29.25" customHeight="1" x14ac:dyDescent="0.2"/>
    <row r="267" s="2" customFormat="1" ht="29.25" customHeight="1" x14ac:dyDescent="0.2"/>
    <row r="268" s="2" customFormat="1" ht="29.25" customHeight="1" x14ac:dyDescent="0.2"/>
    <row r="269" s="2" customFormat="1" ht="29.25" customHeight="1" x14ac:dyDescent="0.2"/>
    <row r="270" s="2" customFormat="1" ht="29.25" customHeight="1" x14ac:dyDescent="0.2"/>
    <row r="271" s="2" customFormat="1" ht="29.25" customHeight="1" x14ac:dyDescent="0.2"/>
    <row r="272" s="2" customFormat="1" ht="29.25" customHeight="1" x14ac:dyDescent="0.2"/>
    <row r="273" s="2" customFormat="1" ht="29.25" customHeight="1" x14ac:dyDescent="0.2"/>
    <row r="274" s="2" customFormat="1" ht="29.25" customHeight="1" x14ac:dyDescent="0.2"/>
    <row r="275" s="2" customFormat="1" ht="29.25" customHeight="1" x14ac:dyDescent="0.2"/>
    <row r="276" s="2" customFormat="1" ht="29.25" customHeight="1" x14ac:dyDescent="0.2"/>
    <row r="277" s="2" customFormat="1" ht="29.25" customHeight="1" x14ac:dyDescent="0.2"/>
    <row r="278" s="2" customFormat="1" ht="29.25" customHeight="1" x14ac:dyDescent="0.2"/>
    <row r="279" s="2" customFormat="1" ht="29.25" customHeight="1" x14ac:dyDescent="0.2"/>
    <row r="280" s="2" customFormat="1" ht="29.25" customHeight="1" x14ac:dyDescent="0.2"/>
    <row r="281" s="2" customFormat="1" ht="29.25" customHeight="1" x14ac:dyDescent="0.2"/>
    <row r="282" s="2" customFormat="1" ht="29.25" customHeight="1" x14ac:dyDescent="0.2"/>
    <row r="283" s="2" customFormat="1" ht="29.25" customHeight="1" x14ac:dyDescent="0.2"/>
    <row r="284" s="2" customFormat="1" ht="29.25" customHeight="1" x14ac:dyDescent="0.2"/>
  </sheetData>
  <mergeCells count="21">
    <mergeCell ref="A52:A54"/>
    <mergeCell ref="A42:A44"/>
    <mergeCell ref="B4:B5"/>
    <mergeCell ref="A28:A30"/>
    <mergeCell ref="A6:A8"/>
    <mergeCell ref="A37:A39"/>
    <mergeCell ref="A4:A5"/>
    <mergeCell ref="A49:A51"/>
    <mergeCell ref="A45:A47"/>
    <mergeCell ref="A31:A33"/>
    <mergeCell ref="A2:P3"/>
    <mergeCell ref="H4:L4"/>
    <mergeCell ref="M4:Q4"/>
    <mergeCell ref="A34:A36"/>
    <mergeCell ref="A22:A24"/>
    <mergeCell ref="A13:A15"/>
    <mergeCell ref="C4:G4"/>
    <mergeCell ref="A19:A21"/>
    <mergeCell ref="A16:A18"/>
    <mergeCell ref="A25:A27"/>
    <mergeCell ref="A10:A12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R53"/>
  <sheetViews>
    <sheetView view="pageBreakPreview" zoomScale="70" zoomScaleNormal="60" zoomScaleSheetLayoutView="70" workbookViewId="0">
      <pane xSplit="1" ySplit="6" topLeftCell="B7" activePane="bottomRight" state="frozen"/>
      <selection pane="topRight"/>
      <selection pane="bottomLeft"/>
      <selection pane="bottomRight" activeCell="K41" sqref="B41:K42"/>
    </sheetView>
  </sheetViews>
  <sheetFormatPr defaultRowHeight="15" x14ac:dyDescent="0.2"/>
  <cols>
    <col min="1" max="1" width="26.42578125" style="2" customWidth="1"/>
    <col min="2" max="5" width="12.7109375" style="40" customWidth="1"/>
    <col min="6" max="6" width="12.7109375" style="170" customWidth="1"/>
    <col min="7" max="17" width="12.7109375" style="2" customWidth="1"/>
    <col min="18" max="18" width="12.7109375" style="11" customWidth="1"/>
    <col min="19" max="16384" width="9.140625" style="2"/>
  </cols>
  <sheetData>
    <row r="3" spans="1:18" ht="18" x14ac:dyDescent="0.2">
      <c r="A3" s="229" t="s">
        <v>127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13"/>
      <c r="O3" s="13"/>
      <c r="P3" s="13"/>
      <c r="Q3" s="13"/>
      <c r="R3" s="144"/>
    </row>
    <row r="4" spans="1:18" ht="18" x14ac:dyDescent="0.2">
      <c r="A4" s="12"/>
      <c r="B4" s="19"/>
      <c r="C4" s="19"/>
      <c r="D4" s="19"/>
      <c r="E4" s="19"/>
      <c r="F4" s="19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  <c r="R4" s="144"/>
    </row>
    <row r="5" spans="1:18" ht="29.25" customHeight="1" x14ac:dyDescent="0.2">
      <c r="A5" s="210" t="s">
        <v>140</v>
      </c>
      <c r="B5" s="213" t="s">
        <v>114</v>
      </c>
      <c r="C5" s="213"/>
      <c r="D5" s="213"/>
      <c r="E5" s="213"/>
      <c r="F5" s="213"/>
      <c r="G5" s="213" t="s">
        <v>81</v>
      </c>
      <c r="H5" s="213"/>
      <c r="I5" s="213"/>
      <c r="J5" s="213"/>
      <c r="K5" s="213"/>
      <c r="L5" s="213" t="s">
        <v>78</v>
      </c>
      <c r="M5" s="213"/>
      <c r="N5" s="213"/>
      <c r="O5" s="213"/>
      <c r="P5" s="213"/>
      <c r="Q5" s="108"/>
      <c r="R5" s="108"/>
    </row>
    <row r="6" spans="1:18" s="9" customFormat="1" ht="21.75" customHeight="1" x14ac:dyDescent="0.2">
      <c r="A6" s="210"/>
      <c r="B6" s="109" t="s">
        <v>107</v>
      </c>
      <c r="C6" s="109" t="s">
        <v>108</v>
      </c>
      <c r="D6" s="188" t="s">
        <v>111</v>
      </c>
      <c r="E6" s="188" t="s">
        <v>138</v>
      </c>
      <c r="F6" s="188" t="s">
        <v>141</v>
      </c>
      <c r="G6" s="109" t="s">
        <v>107</v>
      </c>
      <c r="H6" s="109" t="s">
        <v>108</v>
      </c>
      <c r="I6" s="188" t="s">
        <v>111</v>
      </c>
      <c r="J6" s="188" t="s">
        <v>138</v>
      </c>
      <c r="K6" s="188" t="s">
        <v>141</v>
      </c>
      <c r="L6" s="99" t="s">
        <v>107</v>
      </c>
      <c r="M6" s="99" t="s">
        <v>108</v>
      </c>
      <c r="N6" s="183" t="s">
        <v>111</v>
      </c>
      <c r="O6" s="188" t="s">
        <v>138</v>
      </c>
      <c r="P6" s="188" t="s">
        <v>141</v>
      </c>
      <c r="Q6" s="157"/>
      <c r="R6" s="157"/>
    </row>
    <row r="7" spans="1:18" ht="21.75" customHeight="1" x14ac:dyDescent="0.2">
      <c r="A7" s="184" t="s">
        <v>1</v>
      </c>
      <c r="B7" s="63">
        <v>1</v>
      </c>
      <c r="C7" s="63">
        <v>5</v>
      </c>
      <c r="D7" s="78">
        <v>3</v>
      </c>
      <c r="E7" s="78">
        <v>4</v>
      </c>
      <c r="F7" s="63">
        <v>2</v>
      </c>
      <c r="G7" s="63">
        <v>1</v>
      </c>
      <c r="H7" s="63">
        <v>2</v>
      </c>
      <c r="I7" s="63">
        <v>1.371</v>
      </c>
      <c r="J7" s="63">
        <v>1.38</v>
      </c>
      <c r="K7" s="63">
        <v>0.97</v>
      </c>
      <c r="L7" s="76">
        <f t="shared" ref="L7:L38" si="0">G7/B7*1000</f>
        <v>1000</v>
      </c>
      <c r="M7" s="76">
        <f t="shared" ref="M7:M38" si="1">H7/C7*1000</f>
        <v>400</v>
      </c>
      <c r="N7" s="76">
        <f t="shared" ref="N7:N38" si="2">I7/D7*1000</f>
        <v>457</v>
      </c>
      <c r="O7" s="76">
        <f t="shared" ref="O7:P38" si="3">J7/E7*1000</f>
        <v>345</v>
      </c>
      <c r="P7" s="76">
        <f t="shared" si="3"/>
        <v>485</v>
      </c>
      <c r="Q7" s="135"/>
      <c r="R7" s="135"/>
    </row>
    <row r="8" spans="1:18" ht="21.75" customHeight="1" x14ac:dyDescent="0.2">
      <c r="A8" s="184" t="s">
        <v>32</v>
      </c>
      <c r="B8" s="63">
        <v>29.228999999999999</v>
      </c>
      <c r="C8" s="63">
        <v>27.986000000000001</v>
      </c>
      <c r="D8" s="78">
        <v>28.186</v>
      </c>
      <c r="E8" s="78">
        <v>28.206</v>
      </c>
      <c r="F8" s="63">
        <v>28.260999999999999</v>
      </c>
      <c r="G8" s="63">
        <v>31.843</v>
      </c>
      <c r="H8" s="63">
        <v>28.513999999999999</v>
      </c>
      <c r="I8" s="63">
        <v>28.721533999999998</v>
      </c>
      <c r="J8" s="63">
        <v>28.741914000000001</v>
      </c>
      <c r="K8" s="63">
        <v>28.797958999999999</v>
      </c>
      <c r="L8" s="76">
        <f t="shared" si="0"/>
        <v>1089.4317287625304</v>
      </c>
      <c r="M8" s="76">
        <f t="shared" si="1"/>
        <v>1018.8665761452154</v>
      </c>
      <c r="N8" s="76">
        <f t="shared" si="2"/>
        <v>1018.9999999999999</v>
      </c>
      <c r="O8" s="76">
        <f t="shared" si="3"/>
        <v>1019.0000000000001</v>
      </c>
      <c r="P8" s="76">
        <f t="shared" si="3"/>
        <v>1018.9999999999999</v>
      </c>
      <c r="Q8" s="135"/>
      <c r="R8" s="135"/>
    </row>
    <row r="9" spans="1:18" ht="21.75" customHeight="1" x14ac:dyDescent="0.2">
      <c r="A9" s="184" t="s">
        <v>28</v>
      </c>
      <c r="B9" s="63">
        <v>285.67700000000002</v>
      </c>
      <c r="C9" s="63">
        <v>294.01799999999997</v>
      </c>
      <c r="D9" s="78">
        <v>290.28500000000003</v>
      </c>
      <c r="E9" s="78">
        <v>285.73599999999999</v>
      </c>
      <c r="F9" s="63">
        <v>287.447</v>
      </c>
      <c r="G9" s="63">
        <v>199.501</v>
      </c>
      <c r="H9" s="63">
        <v>189.233</v>
      </c>
      <c r="I9" s="63">
        <v>185.49211500000001</v>
      </c>
      <c r="J9" s="63">
        <v>183.72824799999998</v>
      </c>
      <c r="K9" s="63">
        <v>177.35479899999999</v>
      </c>
      <c r="L9" s="76">
        <f t="shared" si="0"/>
        <v>698.34463397473371</v>
      </c>
      <c r="M9" s="76">
        <f t="shared" si="1"/>
        <v>643.61025515444635</v>
      </c>
      <c r="N9" s="76">
        <f t="shared" si="2"/>
        <v>639</v>
      </c>
      <c r="O9" s="76">
        <f t="shared" si="3"/>
        <v>642.99999999999989</v>
      </c>
      <c r="P9" s="76">
        <f t="shared" si="3"/>
        <v>617</v>
      </c>
      <c r="Q9" s="135"/>
      <c r="R9" s="135"/>
    </row>
    <row r="10" spans="1:18" ht="21.75" customHeight="1" x14ac:dyDescent="0.2">
      <c r="A10" s="184" t="s">
        <v>40</v>
      </c>
      <c r="B10" s="63">
        <v>89.656999999999996</v>
      </c>
      <c r="C10" s="63">
        <v>82.77</v>
      </c>
      <c r="D10" s="78">
        <v>79.126000000000005</v>
      </c>
      <c r="E10" s="78">
        <v>80.585999999999999</v>
      </c>
      <c r="F10" s="63">
        <v>75.239999999999995</v>
      </c>
      <c r="G10" s="63">
        <v>94.391999999999996</v>
      </c>
      <c r="H10" s="63">
        <v>97.683999999999997</v>
      </c>
      <c r="I10" s="63">
        <v>98.511870000000016</v>
      </c>
      <c r="J10" s="63">
        <v>103.95594</v>
      </c>
      <c r="K10" s="63">
        <v>89.309879999999993</v>
      </c>
      <c r="L10" s="76">
        <f t="shared" si="0"/>
        <v>1052.8123849783062</v>
      </c>
      <c r="M10" s="76">
        <f t="shared" si="1"/>
        <v>1180.1860577503926</v>
      </c>
      <c r="N10" s="76">
        <f t="shared" si="2"/>
        <v>1245</v>
      </c>
      <c r="O10" s="76">
        <f t="shared" si="3"/>
        <v>1290</v>
      </c>
      <c r="P10" s="76">
        <f t="shared" si="3"/>
        <v>1187</v>
      </c>
      <c r="Q10" s="135"/>
      <c r="R10" s="135"/>
    </row>
    <row r="11" spans="1:18" ht="21.75" customHeight="1" x14ac:dyDescent="0.2">
      <c r="A11" s="186" t="s">
        <v>6</v>
      </c>
      <c r="B11" s="63">
        <v>43.1</v>
      </c>
      <c r="C11" s="63">
        <v>51</v>
      </c>
      <c r="D11" s="78">
        <v>43.63</v>
      </c>
      <c r="E11" s="78">
        <v>42.01</v>
      </c>
      <c r="F11" s="63">
        <v>39.04</v>
      </c>
      <c r="G11" s="63">
        <v>22.3</v>
      </c>
      <c r="H11" s="63">
        <v>19.8</v>
      </c>
      <c r="I11" s="63">
        <v>18.106450000000002</v>
      </c>
      <c r="J11" s="63">
        <v>17.60219</v>
      </c>
      <c r="K11" s="63">
        <v>16.240639999999999</v>
      </c>
      <c r="L11" s="76">
        <f t="shared" si="0"/>
        <v>517.40139211136898</v>
      </c>
      <c r="M11" s="76">
        <f t="shared" si="1"/>
        <v>388.23529411764707</v>
      </c>
      <c r="N11" s="76">
        <f t="shared" si="2"/>
        <v>415.00000000000006</v>
      </c>
      <c r="O11" s="76">
        <f t="shared" si="3"/>
        <v>419.00000000000006</v>
      </c>
      <c r="P11" s="76">
        <f t="shared" si="3"/>
        <v>416</v>
      </c>
      <c r="Q11" s="135"/>
      <c r="R11" s="135"/>
    </row>
    <row r="12" spans="1:18" ht="21.75" customHeight="1" x14ac:dyDescent="0.2">
      <c r="A12" s="184" t="s">
        <v>8</v>
      </c>
      <c r="B12" s="63">
        <v>190</v>
      </c>
      <c r="C12" s="63">
        <v>201</v>
      </c>
      <c r="D12" s="78">
        <v>221</v>
      </c>
      <c r="E12" s="78">
        <v>195.36</v>
      </c>
      <c r="F12" s="63">
        <v>172.62</v>
      </c>
      <c r="G12" s="63">
        <v>306</v>
      </c>
      <c r="H12" s="63">
        <v>344</v>
      </c>
      <c r="I12" s="63">
        <v>399.56799999999998</v>
      </c>
      <c r="J12" s="63">
        <v>348.52224000000007</v>
      </c>
      <c r="K12" s="63">
        <v>333.50184000000002</v>
      </c>
      <c r="L12" s="76">
        <f t="shared" si="0"/>
        <v>1610.5263157894735</v>
      </c>
      <c r="M12" s="76">
        <f t="shared" si="1"/>
        <v>1711.4427860696517</v>
      </c>
      <c r="N12" s="76">
        <f t="shared" si="2"/>
        <v>1807.9999999999998</v>
      </c>
      <c r="O12" s="76">
        <f t="shared" si="3"/>
        <v>1784.0000000000002</v>
      </c>
      <c r="P12" s="76">
        <f t="shared" si="3"/>
        <v>1932</v>
      </c>
      <c r="Q12" s="135"/>
      <c r="R12" s="135"/>
    </row>
    <row r="13" spans="1:18" ht="21.75" customHeight="1" x14ac:dyDescent="0.2">
      <c r="A13" s="184" t="s">
        <v>34</v>
      </c>
      <c r="B13" s="63">
        <v>505</v>
      </c>
      <c r="C13" s="63">
        <v>510</v>
      </c>
      <c r="D13" s="78">
        <v>549</v>
      </c>
      <c r="E13" s="78">
        <v>609.20000000000005</v>
      </c>
      <c r="F13" s="63">
        <v>641.29999999999995</v>
      </c>
      <c r="G13" s="63">
        <v>805</v>
      </c>
      <c r="H13" s="63">
        <v>945</v>
      </c>
      <c r="I13" s="63">
        <v>1107.8820000000001</v>
      </c>
      <c r="J13" s="63">
        <v>1253.7336</v>
      </c>
      <c r="K13" s="63">
        <v>1149.8508999999999</v>
      </c>
      <c r="L13" s="76">
        <f t="shared" si="0"/>
        <v>1594.0594059405942</v>
      </c>
      <c r="M13" s="76">
        <f t="shared" si="1"/>
        <v>1852.9411764705883</v>
      </c>
      <c r="N13" s="76">
        <f t="shared" si="2"/>
        <v>2018.0000000000002</v>
      </c>
      <c r="O13" s="76">
        <f t="shared" si="3"/>
        <v>2058</v>
      </c>
      <c r="P13" s="76">
        <f t="shared" si="3"/>
        <v>1793</v>
      </c>
      <c r="Q13" s="135"/>
      <c r="R13" s="135"/>
    </row>
    <row r="14" spans="1:18" ht="21.75" customHeight="1" x14ac:dyDescent="0.2">
      <c r="A14" s="184" t="s">
        <v>10</v>
      </c>
      <c r="B14" s="63">
        <v>8.593</v>
      </c>
      <c r="C14" s="63">
        <v>8.7720000000000002</v>
      </c>
      <c r="D14" s="78">
        <v>8.3260000000000005</v>
      </c>
      <c r="E14" s="78">
        <v>8.5329999999999995</v>
      </c>
      <c r="F14" s="63">
        <v>8.6050000000000004</v>
      </c>
      <c r="G14" s="63">
        <v>4.4400000000000004</v>
      </c>
      <c r="H14" s="63">
        <v>4.4379999999999997</v>
      </c>
      <c r="I14" s="63">
        <v>4.5419999999999998</v>
      </c>
      <c r="J14" s="63">
        <v>4.6931499999999993</v>
      </c>
      <c r="K14" s="63">
        <v>4.9048500000000006</v>
      </c>
      <c r="L14" s="76">
        <f t="shared" si="0"/>
        <v>516.69963924124295</v>
      </c>
      <c r="M14" s="76">
        <f t="shared" si="1"/>
        <v>505.92795257637937</v>
      </c>
      <c r="N14" s="76">
        <f t="shared" si="2"/>
        <v>545.52005765073261</v>
      </c>
      <c r="O14" s="76">
        <f t="shared" si="3"/>
        <v>549.99999999999989</v>
      </c>
      <c r="P14" s="76">
        <f t="shared" si="3"/>
        <v>570.00000000000011</v>
      </c>
      <c r="Q14" s="135"/>
      <c r="R14" s="135"/>
    </row>
    <row r="15" spans="1:18" ht="21.75" customHeight="1" x14ac:dyDescent="0.2">
      <c r="A15" s="184" t="s">
        <v>41</v>
      </c>
      <c r="B15" s="63">
        <v>50.515000000000001</v>
      </c>
      <c r="C15" s="63">
        <v>47.610999999999997</v>
      </c>
      <c r="D15" s="78">
        <v>47.401000000000003</v>
      </c>
      <c r="E15" s="78">
        <v>47.244</v>
      </c>
      <c r="F15" s="63">
        <v>45.311</v>
      </c>
      <c r="G15" s="63">
        <v>30.9359</v>
      </c>
      <c r="H15" s="63">
        <v>25.023</v>
      </c>
      <c r="I15" s="63">
        <v>37.588993000000002</v>
      </c>
      <c r="J15" s="63">
        <v>54.283355999999998</v>
      </c>
      <c r="K15" s="63">
        <v>40.734589</v>
      </c>
      <c r="L15" s="76">
        <f t="shared" si="0"/>
        <v>612.41017519548643</v>
      </c>
      <c r="M15" s="76">
        <f t="shared" si="1"/>
        <v>525.57182163785683</v>
      </c>
      <c r="N15" s="76">
        <f t="shared" si="2"/>
        <v>793</v>
      </c>
      <c r="O15" s="76">
        <f t="shared" si="3"/>
        <v>1149</v>
      </c>
      <c r="P15" s="76">
        <f t="shared" si="3"/>
        <v>899</v>
      </c>
      <c r="Q15" s="135"/>
      <c r="R15" s="135"/>
    </row>
    <row r="16" spans="1:18" ht="21.75" customHeight="1" x14ac:dyDescent="0.2">
      <c r="A16" s="184" t="s">
        <v>50</v>
      </c>
      <c r="B16" s="63">
        <v>194.226</v>
      </c>
      <c r="C16" s="63">
        <v>273.34800000000001</v>
      </c>
      <c r="D16" s="78">
        <v>305.04500000000002</v>
      </c>
      <c r="E16" s="78">
        <v>236.85300000000001</v>
      </c>
      <c r="F16" s="63">
        <v>291.43099999999998</v>
      </c>
      <c r="G16" s="63">
        <v>135.666</v>
      </c>
      <c r="H16" s="63">
        <v>198.95699999999999</v>
      </c>
      <c r="I16" s="63">
        <v>218.10717500000001</v>
      </c>
      <c r="J16" s="63">
        <v>164.61283499999999</v>
      </c>
      <c r="K16" s="63">
        <v>231.39621399999999</v>
      </c>
      <c r="L16" s="76">
        <f t="shared" si="0"/>
        <v>698.49556701986353</v>
      </c>
      <c r="M16" s="76">
        <f t="shared" si="1"/>
        <v>727.85240791957494</v>
      </c>
      <c r="N16" s="76">
        <f t="shared" si="2"/>
        <v>715</v>
      </c>
      <c r="O16" s="76">
        <f t="shared" si="3"/>
        <v>695</v>
      </c>
      <c r="P16" s="76">
        <f t="shared" si="3"/>
        <v>794</v>
      </c>
      <c r="Q16" s="135"/>
      <c r="R16" s="135"/>
    </row>
    <row r="17" spans="1:18" ht="21.75" customHeight="1" x14ac:dyDescent="0.2">
      <c r="A17" s="184" t="s">
        <v>11</v>
      </c>
      <c r="B17" s="63">
        <v>2</v>
      </c>
      <c r="C17" s="63">
        <v>4</v>
      </c>
      <c r="D17" s="78">
        <v>2</v>
      </c>
      <c r="E17" s="78">
        <v>2.9699999999999998</v>
      </c>
      <c r="F17" s="63">
        <v>0</v>
      </c>
      <c r="G17" s="63">
        <v>0.3</v>
      </c>
      <c r="H17" s="63">
        <v>0.8</v>
      </c>
      <c r="I17" s="63">
        <v>0.33600000000000002</v>
      </c>
      <c r="J17" s="63">
        <v>0.59993999999999992</v>
      </c>
      <c r="K17" s="63">
        <v>0</v>
      </c>
      <c r="L17" s="76">
        <f t="shared" si="0"/>
        <v>150</v>
      </c>
      <c r="M17" s="76">
        <f t="shared" si="1"/>
        <v>200</v>
      </c>
      <c r="N17" s="76">
        <f t="shared" si="2"/>
        <v>168</v>
      </c>
      <c r="O17" s="76">
        <f t="shared" si="3"/>
        <v>201.99999999999997</v>
      </c>
      <c r="P17" s="76" t="e">
        <f t="shared" si="3"/>
        <v>#DIV/0!</v>
      </c>
      <c r="Q17" s="135"/>
      <c r="R17" s="135"/>
    </row>
    <row r="18" spans="1:18" ht="21.75" hidden="1" customHeight="1" x14ac:dyDescent="0.2">
      <c r="A18" s="184" t="s">
        <v>12</v>
      </c>
      <c r="B18" s="63"/>
      <c r="C18" s="63"/>
      <c r="D18" s="78"/>
      <c r="E18" s="78"/>
      <c r="F18" s="63"/>
      <c r="G18" s="87"/>
      <c r="H18" s="87"/>
      <c r="I18" s="63">
        <v>0</v>
      </c>
      <c r="J18" s="63">
        <v>0</v>
      </c>
      <c r="K18" s="63">
        <v>0</v>
      </c>
      <c r="L18" s="76" t="e">
        <f t="shared" si="0"/>
        <v>#DIV/0!</v>
      </c>
      <c r="M18" s="76" t="e">
        <f t="shared" si="1"/>
        <v>#DIV/0!</v>
      </c>
      <c r="N18" s="76" t="e">
        <f t="shared" si="2"/>
        <v>#DIV/0!</v>
      </c>
      <c r="O18" s="76" t="e">
        <f t="shared" si="3"/>
        <v>#DIV/0!</v>
      </c>
      <c r="P18" s="76" t="e">
        <f t="shared" si="3"/>
        <v>#DIV/0!</v>
      </c>
      <c r="Q18" s="135"/>
      <c r="R18" s="135"/>
    </row>
    <row r="19" spans="1:18" ht="21.75" customHeight="1" x14ac:dyDescent="0.2">
      <c r="A19" s="184" t="s">
        <v>13</v>
      </c>
      <c r="B19" s="63">
        <v>617</v>
      </c>
      <c r="C19" s="63">
        <v>708</v>
      </c>
      <c r="D19" s="78">
        <v>748</v>
      </c>
      <c r="E19" s="78">
        <v>707</v>
      </c>
      <c r="F19" s="63">
        <v>675</v>
      </c>
      <c r="G19" s="63">
        <v>666</v>
      </c>
      <c r="H19" s="63">
        <v>920</v>
      </c>
      <c r="I19" s="63">
        <v>976.00000000000011</v>
      </c>
      <c r="J19" s="63">
        <v>1039.9970000000001</v>
      </c>
      <c r="K19" s="63">
        <v>1038.1500000000001</v>
      </c>
      <c r="L19" s="76">
        <f t="shared" si="0"/>
        <v>1079.416531604538</v>
      </c>
      <c r="M19" s="76">
        <f t="shared" si="1"/>
        <v>1299.4350282485875</v>
      </c>
      <c r="N19" s="76">
        <f t="shared" si="2"/>
        <v>1304.8128342245991</v>
      </c>
      <c r="O19" s="76">
        <f t="shared" si="3"/>
        <v>1471</v>
      </c>
      <c r="P19" s="76">
        <f t="shared" si="3"/>
        <v>1538</v>
      </c>
      <c r="Q19" s="135"/>
      <c r="R19" s="135"/>
    </row>
    <row r="20" spans="1:18" ht="21.75" customHeight="1" x14ac:dyDescent="0.2">
      <c r="A20" s="184" t="s">
        <v>14</v>
      </c>
      <c r="B20" s="63">
        <v>10</v>
      </c>
      <c r="C20" s="63">
        <v>9.5</v>
      </c>
      <c r="D20" s="78">
        <v>7.7</v>
      </c>
      <c r="E20" s="78">
        <v>5.78</v>
      </c>
      <c r="F20" s="63">
        <v>11.799999999999999</v>
      </c>
      <c r="G20" s="63">
        <v>3</v>
      </c>
      <c r="H20" s="63">
        <v>3.4</v>
      </c>
      <c r="I20" s="63">
        <v>2.2000000000000006</v>
      </c>
      <c r="J20" s="63">
        <v>2.1200000000000006</v>
      </c>
      <c r="K20" s="63">
        <v>3.89</v>
      </c>
      <c r="L20" s="76">
        <f t="shared" si="0"/>
        <v>300</v>
      </c>
      <c r="M20" s="76">
        <f t="shared" si="1"/>
        <v>357.89473684210526</v>
      </c>
      <c r="N20" s="76">
        <f t="shared" si="2"/>
        <v>285.71428571428584</v>
      </c>
      <c r="O20" s="76">
        <f t="shared" si="3"/>
        <v>366.78200692041531</v>
      </c>
      <c r="P20" s="76">
        <f t="shared" si="3"/>
        <v>329.66101694915255</v>
      </c>
      <c r="Q20" s="135"/>
      <c r="R20" s="135"/>
    </row>
    <row r="21" spans="1:18" ht="21.75" customHeight="1" x14ac:dyDescent="0.2">
      <c r="A21" s="186" t="s">
        <v>36</v>
      </c>
      <c r="B21" s="63">
        <v>29</v>
      </c>
      <c r="C21" s="63">
        <v>29.13</v>
      </c>
      <c r="D21" s="78">
        <v>29.26</v>
      </c>
      <c r="E21" s="78">
        <v>29.53</v>
      </c>
      <c r="F21" s="63">
        <v>25.55</v>
      </c>
      <c r="G21" s="63">
        <v>24.52</v>
      </c>
      <c r="H21" s="63">
        <v>24.9</v>
      </c>
      <c r="I21" s="63">
        <v>25.046560000000003</v>
      </c>
      <c r="J21" s="63">
        <v>24.805199999999999</v>
      </c>
      <c r="K21" s="63">
        <v>21.462</v>
      </c>
      <c r="L21" s="76">
        <f t="shared" si="0"/>
        <v>845.51724137931024</v>
      </c>
      <c r="M21" s="76">
        <f t="shared" si="1"/>
        <v>854.78887744593203</v>
      </c>
      <c r="N21" s="76">
        <f t="shared" si="2"/>
        <v>856.00000000000011</v>
      </c>
      <c r="O21" s="76">
        <f t="shared" si="3"/>
        <v>840</v>
      </c>
      <c r="P21" s="76">
        <f t="shared" si="3"/>
        <v>840</v>
      </c>
      <c r="Q21" s="135"/>
      <c r="R21" s="135"/>
    </row>
    <row r="22" spans="1:18" ht="21.75" customHeight="1" x14ac:dyDescent="0.2">
      <c r="A22" s="184" t="s">
        <v>37</v>
      </c>
      <c r="B22" s="63">
        <v>9.7859999999999996</v>
      </c>
      <c r="C22" s="63">
        <v>9.85</v>
      </c>
      <c r="D22" s="78">
        <v>9.8689999999999998</v>
      </c>
      <c r="E22" s="78">
        <v>9.8789999999999996</v>
      </c>
      <c r="F22" s="63">
        <v>9.8699999999999992</v>
      </c>
      <c r="G22" s="63">
        <v>9.4659999999999993</v>
      </c>
      <c r="H22" s="63">
        <v>9.1999999999999993</v>
      </c>
      <c r="I22" s="63">
        <v>9.2275149999999986</v>
      </c>
      <c r="J22" s="63">
        <v>9.2467439999999996</v>
      </c>
      <c r="K22" s="63">
        <v>9.2383199999999999</v>
      </c>
      <c r="L22" s="76">
        <f t="shared" si="0"/>
        <v>967.30022481095432</v>
      </c>
      <c r="M22" s="76">
        <f t="shared" si="1"/>
        <v>934.01015228426388</v>
      </c>
      <c r="N22" s="76">
        <f t="shared" si="2"/>
        <v>934.99999999999989</v>
      </c>
      <c r="O22" s="76">
        <f t="shared" si="3"/>
        <v>936</v>
      </c>
      <c r="P22" s="76">
        <f t="shared" si="3"/>
        <v>936</v>
      </c>
      <c r="Q22" s="135"/>
      <c r="R22" s="135"/>
    </row>
    <row r="23" spans="1:18" ht="21.75" customHeight="1" x14ac:dyDescent="0.2">
      <c r="A23" s="186" t="s">
        <v>38</v>
      </c>
      <c r="B23" s="63">
        <v>0.74299999999999999</v>
      </c>
      <c r="C23" s="63">
        <v>0.32600000000000001</v>
      </c>
      <c r="D23" s="78">
        <v>0.41700000000000004</v>
      </c>
      <c r="E23" s="78">
        <v>0.52900000000000003</v>
      </c>
      <c r="F23" s="63">
        <v>0.57400000000000007</v>
      </c>
      <c r="G23" s="63">
        <v>0.69399999999999995</v>
      </c>
      <c r="H23" s="63">
        <v>0.32700000000000001</v>
      </c>
      <c r="I23" s="63">
        <v>0.4176999999999999</v>
      </c>
      <c r="J23" s="63">
        <v>0.41099999999999998</v>
      </c>
      <c r="K23" s="63">
        <v>0.41</v>
      </c>
      <c r="L23" s="76">
        <f t="shared" si="0"/>
        <v>934.05114401076708</v>
      </c>
      <c r="M23" s="76">
        <f t="shared" si="1"/>
        <v>1003.0674846625767</v>
      </c>
      <c r="N23" s="76">
        <f t="shared" si="2"/>
        <v>1001.6786570743401</v>
      </c>
      <c r="O23" s="76">
        <f t="shared" si="3"/>
        <v>776.93761814744789</v>
      </c>
      <c r="P23" s="76">
        <f t="shared" si="3"/>
        <v>714.28571428571422</v>
      </c>
      <c r="Q23" s="135"/>
      <c r="R23" s="135"/>
    </row>
    <row r="24" spans="1:18" ht="21.75" customHeight="1" x14ac:dyDescent="0.2">
      <c r="A24" s="184" t="s">
        <v>15</v>
      </c>
      <c r="B24" s="63">
        <v>27.54</v>
      </c>
      <c r="C24" s="63">
        <v>27.4</v>
      </c>
      <c r="D24" s="78">
        <v>27.45</v>
      </c>
      <c r="E24" s="78">
        <v>27.47</v>
      </c>
      <c r="F24" s="63">
        <v>27.49</v>
      </c>
      <c r="G24" s="63">
        <v>27.84</v>
      </c>
      <c r="H24" s="63">
        <v>27.76</v>
      </c>
      <c r="I24" s="63">
        <v>27.779399999999999</v>
      </c>
      <c r="J24" s="63">
        <v>27.79964</v>
      </c>
      <c r="K24" s="63">
        <v>27.819879999999998</v>
      </c>
      <c r="L24" s="76">
        <f t="shared" si="0"/>
        <v>1010.8932461873638</v>
      </c>
      <c r="M24" s="76">
        <f t="shared" si="1"/>
        <v>1013.1386861313869</v>
      </c>
      <c r="N24" s="76">
        <f t="shared" si="2"/>
        <v>1012</v>
      </c>
      <c r="O24" s="76">
        <f t="shared" si="3"/>
        <v>1012</v>
      </c>
      <c r="P24" s="76">
        <f t="shared" si="3"/>
        <v>1012</v>
      </c>
      <c r="Q24" s="135"/>
      <c r="R24" s="135"/>
    </row>
    <row r="25" spans="1:18" ht="21.75" customHeight="1" x14ac:dyDescent="0.2">
      <c r="A25" s="184" t="s">
        <v>101</v>
      </c>
      <c r="B25" s="63">
        <v>7.31</v>
      </c>
      <c r="C25" s="63">
        <v>9.6999999999999993</v>
      </c>
      <c r="D25" s="78">
        <v>8.65</v>
      </c>
      <c r="E25" s="78">
        <v>6.02</v>
      </c>
      <c r="F25" s="63">
        <v>6.95</v>
      </c>
      <c r="G25" s="63">
        <v>1.5</v>
      </c>
      <c r="H25" s="63">
        <v>3.35</v>
      </c>
      <c r="I25" s="63">
        <v>2.8199000000000001</v>
      </c>
      <c r="J25" s="63">
        <v>1.6554999999999997</v>
      </c>
      <c r="K25" s="63">
        <v>2.0363500000000001</v>
      </c>
      <c r="L25" s="76">
        <f t="shared" si="0"/>
        <v>205.19835841313269</v>
      </c>
      <c r="M25" s="76">
        <f t="shared" si="1"/>
        <v>345.36082474226811</v>
      </c>
      <c r="N25" s="76">
        <f t="shared" si="2"/>
        <v>326</v>
      </c>
      <c r="O25" s="76">
        <f t="shared" si="3"/>
        <v>274.99999999999994</v>
      </c>
      <c r="P25" s="76">
        <f t="shared" si="3"/>
        <v>293</v>
      </c>
      <c r="Q25" s="135"/>
      <c r="R25" s="135"/>
    </row>
    <row r="26" spans="1:18" ht="21.75" customHeight="1" x14ac:dyDescent="0.2">
      <c r="A26" s="184" t="s">
        <v>74</v>
      </c>
      <c r="B26" s="63">
        <v>31</v>
      </c>
      <c r="C26" s="63">
        <v>31.7</v>
      </c>
      <c r="D26" s="78">
        <v>30.5</v>
      </c>
      <c r="E26" s="78">
        <v>30.5</v>
      </c>
      <c r="F26" s="63">
        <v>31</v>
      </c>
      <c r="G26" s="63">
        <v>41.8</v>
      </c>
      <c r="H26" s="63">
        <v>44.8</v>
      </c>
      <c r="I26" s="63">
        <v>45.689</v>
      </c>
      <c r="J26" s="63">
        <v>46.481999999999999</v>
      </c>
      <c r="K26" s="63">
        <v>45.942</v>
      </c>
      <c r="L26" s="76">
        <f t="shared" si="0"/>
        <v>1348.3870967741937</v>
      </c>
      <c r="M26" s="76">
        <f t="shared" si="1"/>
        <v>1413.2492113564667</v>
      </c>
      <c r="N26" s="76">
        <f t="shared" si="2"/>
        <v>1498</v>
      </c>
      <c r="O26" s="76">
        <f t="shared" si="3"/>
        <v>1524</v>
      </c>
      <c r="P26" s="76">
        <f t="shared" si="3"/>
        <v>1482</v>
      </c>
      <c r="Q26" s="135"/>
      <c r="R26" s="135"/>
    </row>
    <row r="27" spans="1:18" ht="21.75" customHeight="1" x14ac:dyDescent="0.2">
      <c r="A27" s="184" t="s">
        <v>75</v>
      </c>
      <c r="B27" s="63">
        <v>2532.33</v>
      </c>
      <c r="C27" s="63">
        <v>2563.6</v>
      </c>
      <c r="D27" s="78">
        <v>2210.4249999999997</v>
      </c>
      <c r="E27" s="78">
        <v>2371.9</v>
      </c>
      <c r="F27" s="63">
        <v>3076.3199999999997</v>
      </c>
      <c r="G27" s="63">
        <v>3257.9870000000001</v>
      </c>
      <c r="H27" s="63">
        <v>3645.4391999999998</v>
      </c>
      <c r="I27" s="63">
        <v>3541.3090000000007</v>
      </c>
      <c r="J27" s="63">
        <v>4052.7717967587919</v>
      </c>
      <c r="K27" s="63">
        <v>4202.3853393651098</v>
      </c>
      <c r="L27" s="76">
        <f t="shared" si="0"/>
        <v>1286.5570443030726</v>
      </c>
      <c r="M27" s="76">
        <f t="shared" si="1"/>
        <v>1422</v>
      </c>
      <c r="N27" s="76">
        <f t="shared" si="2"/>
        <v>1602.0941674112451</v>
      </c>
      <c r="O27" s="76">
        <f t="shared" si="3"/>
        <v>1708.6604817904599</v>
      </c>
      <c r="P27" s="76">
        <f t="shared" si="3"/>
        <v>1366.0429797176855</v>
      </c>
      <c r="Q27" s="135"/>
      <c r="R27" s="135"/>
    </row>
    <row r="28" spans="1:18" ht="21.75" customHeight="1" x14ac:dyDescent="0.2">
      <c r="A28" s="184" t="s">
        <v>42</v>
      </c>
      <c r="B28" s="63">
        <v>3.66</v>
      </c>
      <c r="C28" s="63">
        <v>3.67</v>
      </c>
      <c r="D28" s="78">
        <v>3.2109999999999999</v>
      </c>
      <c r="E28" s="78">
        <v>3.105</v>
      </c>
      <c r="F28" s="63">
        <v>3.133</v>
      </c>
      <c r="G28" s="63">
        <v>3.12</v>
      </c>
      <c r="H28" s="63">
        <v>3.18</v>
      </c>
      <c r="I28" s="63">
        <v>2.809625</v>
      </c>
      <c r="J28" s="63">
        <v>2.7199800000000001</v>
      </c>
      <c r="K28" s="63">
        <v>2.75</v>
      </c>
      <c r="L28" s="76">
        <f t="shared" si="0"/>
        <v>852.45901639344254</v>
      </c>
      <c r="M28" s="76">
        <f t="shared" si="1"/>
        <v>866.48501362397826</v>
      </c>
      <c r="N28" s="76">
        <f t="shared" si="2"/>
        <v>875</v>
      </c>
      <c r="O28" s="76">
        <f t="shared" si="3"/>
        <v>876</v>
      </c>
      <c r="P28" s="76">
        <f t="shared" si="3"/>
        <v>877.75295244174913</v>
      </c>
      <c r="Q28" s="135"/>
      <c r="R28" s="135"/>
    </row>
    <row r="29" spans="1:18" ht="21.75" customHeight="1" x14ac:dyDescent="0.2">
      <c r="A29" s="184" t="s">
        <v>19</v>
      </c>
      <c r="B29" s="63">
        <v>0.35</v>
      </c>
      <c r="C29" s="63">
        <v>0.2</v>
      </c>
      <c r="D29" s="78">
        <v>0.28999999999999998</v>
      </c>
      <c r="E29" s="78">
        <v>0.3</v>
      </c>
      <c r="F29" s="63">
        <v>0.14000000000000001</v>
      </c>
      <c r="G29" s="63">
        <v>0.08</v>
      </c>
      <c r="H29" s="63">
        <v>0.04</v>
      </c>
      <c r="I29" s="63">
        <v>6.7280000000000006E-2</v>
      </c>
      <c r="J29" s="63">
        <v>6.9599999999999995E-2</v>
      </c>
      <c r="K29" s="63">
        <v>3.2620000000000003E-2</v>
      </c>
      <c r="L29" s="76">
        <f t="shared" si="0"/>
        <v>228.57142857142858</v>
      </c>
      <c r="M29" s="76">
        <f t="shared" si="1"/>
        <v>199.99999999999997</v>
      </c>
      <c r="N29" s="76">
        <f t="shared" si="2"/>
        <v>232.00000000000003</v>
      </c>
      <c r="O29" s="76">
        <f t="shared" si="3"/>
        <v>231.99999999999997</v>
      </c>
      <c r="P29" s="76">
        <f t="shared" si="3"/>
        <v>233</v>
      </c>
      <c r="Q29" s="135"/>
      <c r="R29" s="135"/>
    </row>
    <row r="30" spans="1:18" ht="21.75" customHeight="1" x14ac:dyDescent="0.2">
      <c r="A30" s="184" t="s">
        <v>103</v>
      </c>
      <c r="B30" s="63">
        <v>1</v>
      </c>
      <c r="C30" s="63">
        <v>3</v>
      </c>
      <c r="D30" s="78">
        <v>3</v>
      </c>
      <c r="E30" s="78">
        <v>4</v>
      </c>
      <c r="F30" s="63">
        <v>1</v>
      </c>
      <c r="G30" s="63">
        <v>2</v>
      </c>
      <c r="H30" s="63">
        <v>5</v>
      </c>
      <c r="I30" s="63">
        <v>4.782</v>
      </c>
      <c r="J30" s="63">
        <v>7.76</v>
      </c>
      <c r="K30" s="63">
        <v>1.706</v>
      </c>
      <c r="L30" s="76">
        <f t="shared" si="0"/>
        <v>2000</v>
      </c>
      <c r="M30" s="76">
        <f t="shared" si="1"/>
        <v>1666.6666666666667</v>
      </c>
      <c r="N30" s="76">
        <f t="shared" si="2"/>
        <v>1594</v>
      </c>
      <c r="O30" s="76">
        <f t="shared" si="3"/>
        <v>1940</v>
      </c>
      <c r="P30" s="76">
        <f t="shared" si="3"/>
        <v>1706</v>
      </c>
      <c r="Q30" s="135"/>
      <c r="R30" s="135"/>
    </row>
    <row r="31" spans="1:18" ht="21.75" customHeight="1" x14ac:dyDescent="0.2">
      <c r="A31" s="184" t="s">
        <v>20</v>
      </c>
      <c r="B31" s="63">
        <v>6.4180000000000001</v>
      </c>
      <c r="C31" s="63">
        <v>7.5</v>
      </c>
      <c r="D31" s="78">
        <v>7.7949999999999999</v>
      </c>
      <c r="E31" s="78">
        <v>7.7290000000000001</v>
      </c>
      <c r="F31" s="63">
        <v>7.8949999999999996</v>
      </c>
      <c r="G31" s="63">
        <v>5.1660000000000004</v>
      </c>
      <c r="H31" s="63">
        <v>6.1879999999999997</v>
      </c>
      <c r="I31" s="63">
        <v>6.4698500000000001</v>
      </c>
      <c r="J31" s="63">
        <v>6.4227990000000004</v>
      </c>
      <c r="K31" s="63">
        <v>6.67</v>
      </c>
      <c r="L31" s="76">
        <f t="shared" si="0"/>
        <v>804.92365222810849</v>
      </c>
      <c r="M31" s="76">
        <f t="shared" si="1"/>
        <v>825.06666666666661</v>
      </c>
      <c r="N31" s="76">
        <f t="shared" si="2"/>
        <v>830.00000000000011</v>
      </c>
      <c r="O31" s="76">
        <f t="shared" si="3"/>
        <v>831.00000000000011</v>
      </c>
      <c r="P31" s="76">
        <f t="shared" si="3"/>
        <v>844.83850538315392</v>
      </c>
      <c r="Q31" s="135"/>
      <c r="R31" s="135"/>
    </row>
    <row r="32" spans="1:18" ht="21.75" customHeight="1" x14ac:dyDescent="0.2">
      <c r="A32" s="185" t="s">
        <v>76</v>
      </c>
      <c r="B32" s="63">
        <v>593</v>
      </c>
      <c r="C32" s="63">
        <v>689</v>
      </c>
      <c r="D32" s="78">
        <v>679</v>
      </c>
      <c r="E32" s="78">
        <v>753</v>
      </c>
      <c r="F32" s="63">
        <v>759.3</v>
      </c>
      <c r="G32" s="63">
        <v>603</v>
      </c>
      <c r="H32" s="63">
        <v>858</v>
      </c>
      <c r="I32" s="63">
        <v>945.16800000000001</v>
      </c>
      <c r="J32" s="63">
        <v>1116.6990000000001</v>
      </c>
      <c r="K32" s="63">
        <v>956.71799999999996</v>
      </c>
      <c r="L32" s="76">
        <f t="shared" si="0"/>
        <v>1016.8634064080943</v>
      </c>
      <c r="M32" s="76">
        <f t="shared" si="1"/>
        <v>1245.2830188679245</v>
      </c>
      <c r="N32" s="76">
        <f t="shared" si="2"/>
        <v>1392</v>
      </c>
      <c r="O32" s="76">
        <f t="shared" si="3"/>
        <v>1483</v>
      </c>
      <c r="P32" s="76">
        <f t="shared" si="3"/>
        <v>1260</v>
      </c>
      <c r="Q32" s="135"/>
      <c r="R32" s="135"/>
    </row>
    <row r="33" spans="1:18" ht="21.75" customHeight="1" x14ac:dyDescent="0.2">
      <c r="A33" s="184" t="s">
        <v>84</v>
      </c>
      <c r="B33" s="63">
        <v>15.86</v>
      </c>
      <c r="C33" s="63">
        <v>13</v>
      </c>
      <c r="D33" s="78">
        <v>16</v>
      </c>
      <c r="E33" s="78">
        <v>17</v>
      </c>
      <c r="F33" s="63">
        <v>15</v>
      </c>
      <c r="G33" s="63">
        <v>15.52</v>
      </c>
      <c r="H33" s="63">
        <v>11</v>
      </c>
      <c r="I33" s="63">
        <v>12.704000000000001</v>
      </c>
      <c r="J33" s="63">
        <v>15.962999999999999</v>
      </c>
      <c r="K33" s="63">
        <v>14.505000000000001</v>
      </c>
      <c r="L33" s="76">
        <f t="shared" si="0"/>
        <v>978.56242118537205</v>
      </c>
      <c r="M33" s="76">
        <f t="shared" si="1"/>
        <v>846.15384615384619</v>
      </c>
      <c r="N33" s="76">
        <f t="shared" si="2"/>
        <v>794</v>
      </c>
      <c r="O33" s="76">
        <f t="shared" si="3"/>
        <v>939</v>
      </c>
      <c r="P33" s="76">
        <f t="shared" si="3"/>
        <v>967.00000000000011</v>
      </c>
      <c r="Q33" s="135"/>
      <c r="R33" s="135"/>
    </row>
    <row r="34" spans="1:18" ht="21.75" customHeight="1" x14ac:dyDescent="0.2">
      <c r="A34" s="184" t="s">
        <v>23</v>
      </c>
      <c r="B34" s="63">
        <v>457.83199999999999</v>
      </c>
      <c r="C34" s="63">
        <v>459.10500000000002</v>
      </c>
      <c r="D34" s="78">
        <v>615</v>
      </c>
      <c r="E34" s="78">
        <v>605.90300000000002</v>
      </c>
      <c r="F34" s="63">
        <v>610.40200000000004</v>
      </c>
      <c r="G34" s="63">
        <v>499</v>
      </c>
      <c r="H34" s="63">
        <v>494.67099999999999</v>
      </c>
      <c r="I34" s="63">
        <v>722.6</v>
      </c>
      <c r="J34" s="63">
        <v>734.35443599999996</v>
      </c>
      <c r="K34" s="63">
        <v>712.33913400000006</v>
      </c>
      <c r="L34" s="76">
        <f t="shared" si="0"/>
        <v>1089.9194464345001</v>
      </c>
      <c r="M34" s="76">
        <f t="shared" si="1"/>
        <v>1077.468117315211</v>
      </c>
      <c r="N34" s="76">
        <f t="shared" si="2"/>
        <v>1174.959349593496</v>
      </c>
      <c r="O34" s="76">
        <f t="shared" si="3"/>
        <v>1212</v>
      </c>
      <c r="P34" s="76">
        <f t="shared" si="3"/>
        <v>1167</v>
      </c>
      <c r="Q34" s="135"/>
      <c r="R34" s="135"/>
    </row>
    <row r="35" spans="1:18" ht="21.75" customHeight="1" x14ac:dyDescent="0.2">
      <c r="A35" s="184" t="s">
        <v>102</v>
      </c>
      <c r="B35" s="63">
        <v>5.3E-3</v>
      </c>
      <c r="C35" s="63">
        <v>4.4999999999999997E-3</v>
      </c>
      <c r="D35" s="78">
        <v>1E-4</v>
      </c>
      <c r="E35" s="78">
        <v>2.9999999999999997E-4</v>
      </c>
      <c r="F35" s="63">
        <v>0</v>
      </c>
      <c r="G35" s="63">
        <v>1.3500000000000001E-3</v>
      </c>
      <c r="H35" s="63">
        <v>1.16E-3</v>
      </c>
      <c r="I35" s="63">
        <v>2.9999999999999997E-4</v>
      </c>
      <c r="J35" s="63">
        <v>1.1999999999999999E-3</v>
      </c>
      <c r="K35" s="63">
        <v>0</v>
      </c>
      <c r="L35" s="76">
        <f t="shared" si="0"/>
        <v>254.71698113207546</v>
      </c>
      <c r="M35" s="76">
        <f t="shared" si="1"/>
        <v>257.77777777777777</v>
      </c>
      <c r="N35" s="76">
        <f t="shared" si="2"/>
        <v>2999.9999999999995</v>
      </c>
      <c r="O35" s="76">
        <f t="shared" si="3"/>
        <v>4000</v>
      </c>
      <c r="P35" s="76" t="e">
        <f t="shared" si="3"/>
        <v>#DIV/0!</v>
      </c>
      <c r="Q35" s="135"/>
      <c r="R35" s="135"/>
    </row>
    <row r="36" spans="1:18" ht="21.75" customHeight="1" x14ac:dyDescent="0.2">
      <c r="A36" s="184" t="s">
        <v>109</v>
      </c>
      <c r="B36" s="78">
        <v>0</v>
      </c>
      <c r="C36" s="63">
        <v>5.0000000000000001E-3</v>
      </c>
      <c r="D36" s="78">
        <v>5.0000000000000001E-3</v>
      </c>
      <c r="E36" s="78">
        <v>0</v>
      </c>
      <c r="F36" s="63">
        <v>5.0000000000000001E-3</v>
      </c>
      <c r="G36" s="78">
        <v>0</v>
      </c>
      <c r="H36" s="63">
        <v>2.5000000000000001E-3</v>
      </c>
      <c r="I36" s="63">
        <v>2.5000000000000001E-3</v>
      </c>
      <c r="J36" s="63">
        <v>0</v>
      </c>
      <c r="K36" s="63">
        <v>2.5000000000000001E-3</v>
      </c>
      <c r="L36" s="76" t="e">
        <f t="shared" si="0"/>
        <v>#DIV/0!</v>
      </c>
      <c r="M36" s="76">
        <f t="shared" si="1"/>
        <v>500</v>
      </c>
      <c r="N36" s="76">
        <f t="shared" si="2"/>
        <v>500</v>
      </c>
      <c r="O36" s="76" t="e">
        <f t="shared" si="3"/>
        <v>#DIV/0!</v>
      </c>
      <c r="P36" s="76">
        <f t="shared" si="3"/>
        <v>500</v>
      </c>
      <c r="Q36" s="135"/>
      <c r="R36" s="135"/>
    </row>
    <row r="37" spans="1:18" ht="21.75" customHeight="1" x14ac:dyDescent="0.2">
      <c r="A37" s="184" t="s">
        <v>43</v>
      </c>
      <c r="B37" s="63">
        <v>3.6850000000000001</v>
      </c>
      <c r="C37" s="63">
        <v>3.6280000000000001</v>
      </c>
      <c r="D37" s="78">
        <v>3.593</v>
      </c>
      <c r="E37" s="78">
        <v>3.585</v>
      </c>
      <c r="F37" s="73">
        <v>3.585</v>
      </c>
      <c r="G37" s="63">
        <v>4.6429999999999998</v>
      </c>
      <c r="H37" s="63">
        <v>4.5270000000000001</v>
      </c>
      <c r="I37" s="63">
        <v>4.5271800000000004</v>
      </c>
      <c r="J37" s="63">
        <v>4.5242699999999996</v>
      </c>
      <c r="K37" s="73">
        <v>4.5199999999999996</v>
      </c>
      <c r="L37" s="76">
        <f t="shared" si="0"/>
        <v>1259.9728629579374</v>
      </c>
      <c r="M37" s="76">
        <f t="shared" si="1"/>
        <v>1247.7949283351709</v>
      </c>
      <c r="N37" s="76">
        <f t="shared" si="2"/>
        <v>1260.0000000000002</v>
      </c>
      <c r="O37" s="76">
        <f t="shared" si="3"/>
        <v>1261.9999999999998</v>
      </c>
      <c r="P37" s="76">
        <f t="shared" si="3"/>
        <v>1260.8089260808927</v>
      </c>
      <c r="Q37" s="135"/>
      <c r="R37" s="135"/>
    </row>
    <row r="38" spans="1:18" s="18" customFormat="1" ht="21.75" customHeight="1" x14ac:dyDescent="0.2">
      <c r="A38" s="184" t="s">
        <v>44</v>
      </c>
      <c r="B38" s="81">
        <f t="shared" ref="B38:I38" si="4">SUM(B7:B37)</f>
        <v>5745.5163000000002</v>
      </c>
      <c r="C38" s="81">
        <f t="shared" si="4"/>
        <v>6073.8234999999995</v>
      </c>
      <c r="D38" s="81">
        <f t="shared" si="4"/>
        <v>5977.1641</v>
      </c>
      <c r="E38" s="81">
        <f t="shared" si="4"/>
        <v>6123.9283000000005</v>
      </c>
      <c r="F38" s="81">
        <f t="shared" si="4"/>
        <v>6856.2690000000002</v>
      </c>
      <c r="G38" s="81">
        <f t="shared" si="4"/>
        <v>6796.7152500000002</v>
      </c>
      <c r="H38" s="81">
        <f t="shared" si="4"/>
        <v>7917.2348600000005</v>
      </c>
      <c r="I38" s="81">
        <f t="shared" si="4"/>
        <v>8429.846947</v>
      </c>
      <c r="J38" s="81">
        <f>SUM(J7:J37)</f>
        <v>9255.6565787587915</v>
      </c>
      <c r="K38" s="81">
        <f>SUM(K7:K37)</f>
        <v>9123.6388143651093</v>
      </c>
      <c r="L38" s="77">
        <f t="shared" si="0"/>
        <v>1182.9598760341173</v>
      </c>
      <c r="M38" s="77">
        <f t="shared" si="1"/>
        <v>1303.5009759503221</v>
      </c>
      <c r="N38" s="77">
        <f t="shared" si="2"/>
        <v>1410.3422301890625</v>
      </c>
      <c r="O38" s="77">
        <f t="shared" si="3"/>
        <v>1511.3920551223289</v>
      </c>
      <c r="P38" s="77">
        <f t="shared" si="3"/>
        <v>1330.7002415402765</v>
      </c>
      <c r="Q38" s="136"/>
      <c r="R38" s="136"/>
    </row>
    <row r="39" spans="1:18" x14ac:dyDescent="0.2">
      <c r="A39" s="38"/>
      <c r="B39" s="20"/>
      <c r="C39" s="20"/>
      <c r="D39" s="20"/>
      <c r="E39" s="20"/>
      <c r="F39" s="175"/>
      <c r="G39" s="8"/>
      <c r="H39" s="8"/>
    </row>
    <row r="40" spans="1:18" x14ac:dyDescent="0.2">
      <c r="H40" s="49"/>
      <c r="I40" s="49"/>
      <c r="J40" s="49"/>
    </row>
    <row r="41" spans="1:18" x14ac:dyDescent="0.2"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8" x14ac:dyDescent="0.2"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53" spans="2:2" x14ac:dyDescent="0.2">
      <c r="B53" s="40">
        <v>767000</v>
      </c>
    </row>
  </sheetData>
  <mergeCells count="5">
    <mergeCell ref="A5:A6"/>
    <mergeCell ref="A3:M3"/>
    <mergeCell ref="B5:F5"/>
    <mergeCell ref="L5:P5"/>
    <mergeCell ref="G5:K5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R34"/>
  <sheetViews>
    <sheetView view="pageBreakPreview" zoomScale="70" zoomScaleNormal="60" zoomScaleSheetLayoutView="70" workbookViewId="0">
      <pane xSplit="1" ySplit="6" topLeftCell="B8" activePane="bottomRight" state="frozen"/>
      <selection pane="topRight"/>
      <selection pane="bottomLeft"/>
      <selection pane="bottomRight" activeCell="J1" sqref="J1"/>
    </sheetView>
  </sheetViews>
  <sheetFormatPr defaultRowHeight="15" x14ac:dyDescent="0.2"/>
  <cols>
    <col min="1" max="1" width="27.5703125" style="2" customWidth="1"/>
    <col min="2" max="5" width="11.28515625" style="40" customWidth="1"/>
    <col min="6" max="6" width="11.28515625" style="170" customWidth="1"/>
    <col min="7" max="10" width="11.42578125" style="40" customWidth="1"/>
    <col min="11" max="11" width="11.42578125" style="170" customWidth="1"/>
    <col min="12" max="15" width="10.85546875" style="40" customWidth="1"/>
    <col min="16" max="16" width="10.85546875" style="170" customWidth="1"/>
    <col min="17" max="18" width="10.85546875" style="143" customWidth="1"/>
    <col min="19" max="16384" width="9.140625" style="2"/>
  </cols>
  <sheetData>
    <row r="2" spans="1:18" x14ac:dyDescent="0.2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8" ht="18" x14ac:dyDescent="0.2">
      <c r="A3" s="229" t="s">
        <v>118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61"/>
      <c r="O3" s="61"/>
      <c r="P3" s="61"/>
      <c r="Q3" s="142"/>
      <c r="R3" s="142"/>
    </row>
    <row r="4" spans="1:18" ht="18" x14ac:dyDescent="0.2">
      <c r="A4" s="12"/>
      <c r="B4" s="19"/>
      <c r="C4" s="19"/>
      <c r="D4" s="19"/>
      <c r="E4" s="19"/>
      <c r="F4" s="19"/>
      <c r="G4" s="19"/>
      <c r="H4" s="19"/>
      <c r="I4" s="19"/>
      <c r="J4" s="19"/>
      <c r="K4" s="19"/>
      <c r="L4" s="61"/>
      <c r="M4" s="61"/>
      <c r="N4" s="61"/>
      <c r="O4" s="61"/>
      <c r="P4" s="61"/>
      <c r="Q4" s="142"/>
      <c r="R4" s="142"/>
    </row>
    <row r="5" spans="1:18" ht="30" customHeight="1" x14ac:dyDescent="0.2">
      <c r="A5" s="209" t="s">
        <v>140</v>
      </c>
      <c r="B5" s="213" t="s">
        <v>114</v>
      </c>
      <c r="C5" s="213"/>
      <c r="D5" s="213"/>
      <c r="E5" s="213"/>
      <c r="F5" s="213"/>
      <c r="G5" s="213" t="s">
        <v>81</v>
      </c>
      <c r="H5" s="213"/>
      <c r="I5" s="213"/>
      <c r="J5" s="213"/>
      <c r="K5" s="213"/>
      <c r="L5" s="213" t="s">
        <v>78</v>
      </c>
      <c r="M5" s="213"/>
      <c r="N5" s="213"/>
      <c r="O5" s="213"/>
      <c r="P5" s="213"/>
      <c r="Q5" s="108"/>
      <c r="R5" s="108"/>
    </row>
    <row r="6" spans="1:18" s="9" customFormat="1" ht="36" customHeight="1" x14ac:dyDescent="0.2">
      <c r="A6" s="209"/>
      <c r="B6" s="99" t="s">
        <v>107</v>
      </c>
      <c r="C6" s="99" t="s">
        <v>108</v>
      </c>
      <c r="D6" s="169" t="s">
        <v>111</v>
      </c>
      <c r="E6" s="169" t="s">
        <v>138</v>
      </c>
      <c r="F6" s="169" t="s">
        <v>141</v>
      </c>
      <c r="G6" s="99" t="s">
        <v>107</v>
      </c>
      <c r="H6" s="99" t="s">
        <v>108</v>
      </c>
      <c r="I6" s="169" t="s">
        <v>111</v>
      </c>
      <c r="J6" s="169" t="s">
        <v>138</v>
      </c>
      <c r="K6" s="169" t="s">
        <v>141</v>
      </c>
      <c r="L6" s="99" t="s">
        <v>107</v>
      </c>
      <c r="M6" s="99" t="s">
        <v>108</v>
      </c>
      <c r="N6" s="169" t="s">
        <v>111</v>
      </c>
      <c r="O6" s="169" t="s">
        <v>138</v>
      </c>
      <c r="P6" s="169" t="s">
        <v>141</v>
      </c>
      <c r="Q6" s="108"/>
      <c r="R6" s="108"/>
    </row>
    <row r="7" spans="1:18" ht="30" hidden="1" customHeight="1" x14ac:dyDescent="0.2">
      <c r="A7" s="174" t="s">
        <v>1</v>
      </c>
      <c r="B7" s="78">
        <v>0</v>
      </c>
      <c r="C7" s="78">
        <v>0</v>
      </c>
      <c r="D7" s="78">
        <v>0</v>
      </c>
      <c r="E7" s="78">
        <v>0</v>
      </c>
      <c r="F7" s="78"/>
      <c r="G7" s="78">
        <v>0</v>
      </c>
      <c r="H7" s="78">
        <v>0</v>
      </c>
      <c r="I7" s="78">
        <v>0</v>
      </c>
      <c r="J7" s="78">
        <v>0</v>
      </c>
      <c r="K7" s="78"/>
      <c r="L7" s="76" t="e">
        <f t="shared" ref="L7:P11" si="0">G7/B7*1000</f>
        <v>#DIV/0!</v>
      </c>
      <c r="M7" s="76" t="e">
        <f t="shared" si="0"/>
        <v>#DIV/0!</v>
      </c>
      <c r="N7" s="76" t="e">
        <f t="shared" si="0"/>
        <v>#DIV/0!</v>
      </c>
      <c r="O7" s="76" t="e">
        <f t="shared" si="0"/>
        <v>#DIV/0!</v>
      </c>
      <c r="P7" s="76"/>
      <c r="Q7" s="135"/>
      <c r="R7" s="135"/>
    </row>
    <row r="8" spans="1:18" ht="30" customHeight="1" x14ac:dyDescent="0.2">
      <c r="A8" s="174" t="s">
        <v>32</v>
      </c>
      <c r="B8" s="78">
        <v>0</v>
      </c>
      <c r="C8" s="63">
        <v>3.5999999999999997E-2</v>
      </c>
      <c r="D8" s="78">
        <v>4.2999999999999997E-2</v>
      </c>
      <c r="E8" s="78">
        <v>0</v>
      </c>
      <c r="F8" s="78">
        <v>4.3999999999999997E-2</v>
      </c>
      <c r="G8" s="78">
        <v>0</v>
      </c>
      <c r="H8" s="63">
        <v>5.3999999999999999E-2</v>
      </c>
      <c r="I8" s="78">
        <v>6.2994999999999995E-2</v>
      </c>
      <c r="J8" s="78">
        <v>0</v>
      </c>
      <c r="K8" s="78">
        <v>0.1</v>
      </c>
      <c r="L8" s="76" t="e">
        <f t="shared" si="0"/>
        <v>#DIV/0!</v>
      </c>
      <c r="M8" s="76">
        <f t="shared" si="0"/>
        <v>1500</v>
      </c>
      <c r="N8" s="76">
        <f t="shared" si="0"/>
        <v>1465</v>
      </c>
      <c r="O8" s="76" t="e">
        <f t="shared" si="0"/>
        <v>#DIV/0!</v>
      </c>
      <c r="P8" s="76">
        <f t="shared" si="0"/>
        <v>2272.727272727273</v>
      </c>
      <c r="Q8" s="135"/>
      <c r="R8" s="135"/>
    </row>
    <row r="9" spans="1:18" ht="30" customHeight="1" x14ac:dyDescent="0.2">
      <c r="A9" s="174" t="s">
        <v>28</v>
      </c>
      <c r="B9" s="63">
        <v>5.2720000000000002</v>
      </c>
      <c r="C9" s="63">
        <v>4.97</v>
      </c>
      <c r="D9" s="78">
        <v>5.0039999999999996</v>
      </c>
      <c r="E9" s="78">
        <v>4.7629999999999999</v>
      </c>
      <c r="F9" s="78">
        <v>4.8849999999999998</v>
      </c>
      <c r="G9" s="63">
        <v>3.3380000000000001</v>
      </c>
      <c r="H9" s="63">
        <v>3.0230000000000001</v>
      </c>
      <c r="I9" s="78">
        <v>3.0674519999999998</v>
      </c>
      <c r="J9" s="78">
        <v>2.8959039999999998</v>
      </c>
      <c r="K9" s="78">
        <v>3</v>
      </c>
      <c r="L9" s="76">
        <f t="shared" si="0"/>
        <v>633.15629742033389</v>
      </c>
      <c r="M9" s="76">
        <f t="shared" si="0"/>
        <v>608.24949698189141</v>
      </c>
      <c r="N9" s="76">
        <f t="shared" si="0"/>
        <v>613</v>
      </c>
      <c r="O9" s="76">
        <f t="shared" si="0"/>
        <v>608</v>
      </c>
      <c r="P9" s="76">
        <f t="shared" si="0"/>
        <v>614.12487205731838</v>
      </c>
      <c r="Q9" s="135"/>
      <c r="R9" s="135"/>
    </row>
    <row r="10" spans="1:18" ht="30" customHeight="1" x14ac:dyDescent="0.2">
      <c r="A10" s="174" t="s">
        <v>67</v>
      </c>
      <c r="B10" s="63">
        <v>15.032999999999999</v>
      </c>
      <c r="C10" s="63">
        <v>12.683999999999999</v>
      </c>
      <c r="D10" s="78">
        <v>12.116</v>
      </c>
      <c r="E10" s="78">
        <v>9.657</v>
      </c>
      <c r="F10" s="78">
        <v>8.2539999999999996</v>
      </c>
      <c r="G10" s="63">
        <v>12.911</v>
      </c>
      <c r="H10" s="63">
        <v>10.561</v>
      </c>
      <c r="I10" s="78">
        <v>10.310716000000001</v>
      </c>
      <c r="J10" s="78">
        <v>8.1987930000000002</v>
      </c>
      <c r="K10" s="78">
        <v>6.9746300000000003</v>
      </c>
      <c r="L10" s="76">
        <f t="shared" si="0"/>
        <v>858.84387680436373</v>
      </c>
      <c r="M10" s="76">
        <f t="shared" si="0"/>
        <v>832.6237779880164</v>
      </c>
      <c r="N10" s="76">
        <f t="shared" si="0"/>
        <v>851.00000000000011</v>
      </c>
      <c r="O10" s="76">
        <f t="shared" si="0"/>
        <v>849</v>
      </c>
      <c r="P10" s="76">
        <f t="shared" si="0"/>
        <v>845.00000000000011</v>
      </c>
      <c r="Q10" s="135"/>
      <c r="R10" s="135"/>
    </row>
    <row r="11" spans="1:18" ht="30" customHeight="1" x14ac:dyDescent="0.2">
      <c r="A11" s="174" t="s">
        <v>6</v>
      </c>
      <c r="B11" s="63">
        <v>27.1</v>
      </c>
      <c r="C11" s="63">
        <v>29.9</v>
      </c>
      <c r="D11" s="78">
        <v>25.79</v>
      </c>
      <c r="E11" s="78">
        <v>17.760000000000002</v>
      </c>
      <c r="F11" s="78">
        <v>15.68</v>
      </c>
      <c r="G11" s="63">
        <v>7.9</v>
      </c>
      <c r="H11" s="63">
        <v>10.3</v>
      </c>
      <c r="I11" s="78">
        <v>6.3959200000000003</v>
      </c>
      <c r="J11" s="78">
        <v>4.6176000000000004</v>
      </c>
      <c r="K11" s="78">
        <v>4.4531200000000002</v>
      </c>
      <c r="L11" s="76">
        <f t="shared" si="0"/>
        <v>291.51291512915128</v>
      </c>
      <c r="M11" s="76">
        <f t="shared" si="0"/>
        <v>344.48160535117063</v>
      </c>
      <c r="N11" s="76">
        <f t="shared" si="0"/>
        <v>248.00000000000003</v>
      </c>
      <c r="O11" s="76">
        <f t="shared" si="0"/>
        <v>260</v>
      </c>
      <c r="P11" s="76">
        <f t="shared" si="0"/>
        <v>284.00000000000006</v>
      </c>
      <c r="Q11" s="135"/>
      <c r="R11" s="135"/>
    </row>
    <row r="12" spans="1:18" ht="30" customHeight="1" x14ac:dyDescent="0.2">
      <c r="A12" s="174" t="s">
        <v>45</v>
      </c>
      <c r="B12" s="63">
        <v>0.81100000000000005</v>
      </c>
      <c r="C12" s="63">
        <v>0.95599999999999996</v>
      </c>
      <c r="D12" s="78">
        <v>0.80300000000000005</v>
      </c>
      <c r="E12" s="78">
        <v>0.81100000000000005</v>
      </c>
      <c r="F12" s="78">
        <v>0.82</v>
      </c>
      <c r="G12" s="63">
        <v>0.23899999999999999</v>
      </c>
      <c r="H12" s="63">
        <v>0.28199999999999997</v>
      </c>
      <c r="I12" s="78">
        <v>0.24000000000000002</v>
      </c>
      <c r="J12" s="78">
        <v>0.24330000000000002</v>
      </c>
      <c r="K12" s="78">
        <v>0.34439999999999998</v>
      </c>
      <c r="L12" s="76">
        <f t="shared" ref="L12:N18" si="1">G12/B12*1000</f>
        <v>294.69790382244139</v>
      </c>
      <c r="M12" s="76">
        <f t="shared" si="1"/>
        <v>294.97907949790789</v>
      </c>
      <c r="N12" s="76">
        <f t="shared" si="1"/>
        <v>298.87920298879203</v>
      </c>
      <c r="O12" s="76">
        <f t="shared" ref="O12:P31" si="2">J12/E12*1000</f>
        <v>300</v>
      </c>
      <c r="P12" s="76">
        <f t="shared" si="2"/>
        <v>420</v>
      </c>
      <c r="Q12" s="135"/>
      <c r="R12" s="135"/>
    </row>
    <row r="13" spans="1:18" ht="30" customHeight="1" x14ac:dyDescent="0.2">
      <c r="A13" s="174" t="s">
        <v>41</v>
      </c>
      <c r="B13" s="63">
        <v>0.16400000000000001</v>
      </c>
      <c r="C13" s="63">
        <v>0.122</v>
      </c>
      <c r="D13" s="78">
        <v>6.2E-2</v>
      </c>
      <c r="E13" s="78">
        <v>0.152</v>
      </c>
      <c r="F13" s="78">
        <v>0.125</v>
      </c>
      <c r="G13" s="63">
        <v>0.14399200000000001</v>
      </c>
      <c r="H13" s="63">
        <v>4.4999999999999998E-2</v>
      </c>
      <c r="I13" s="78">
        <v>3.0008E-2</v>
      </c>
      <c r="J13" s="78">
        <v>0.16887199999999999</v>
      </c>
      <c r="K13" s="78">
        <v>0</v>
      </c>
      <c r="L13" s="76">
        <f t="shared" si="1"/>
        <v>878</v>
      </c>
      <c r="M13" s="76">
        <f t="shared" si="1"/>
        <v>368.85245901639348</v>
      </c>
      <c r="N13" s="76">
        <f t="shared" si="1"/>
        <v>484</v>
      </c>
      <c r="O13" s="76">
        <f t="shared" si="2"/>
        <v>1111</v>
      </c>
      <c r="P13" s="76">
        <f t="shared" si="2"/>
        <v>0</v>
      </c>
      <c r="Q13" s="135"/>
      <c r="R13" s="135"/>
    </row>
    <row r="14" spans="1:18" ht="30" customHeight="1" x14ac:dyDescent="0.2">
      <c r="A14" s="174" t="s">
        <v>30</v>
      </c>
      <c r="B14" s="63">
        <v>25.861999999999998</v>
      </c>
      <c r="C14" s="63">
        <v>38.531999999999996</v>
      </c>
      <c r="D14" s="78">
        <v>52.072000000000003</v>
      </c>
      <c r="E14" s="78">
        <v>39.768000000000001</v>
      </c>
      <c r="F14" s="78">
        <v>39.540999999999997</v>
      </c>
      <c r="G14" s="63">
        <v>13.804</v>
      </c>
      <c r="H14" s="63">
        <v>23.564</v>
      </c>
      <c r="I14" s="78">
        <v>29.681039999999999</v>
      </c>
      <c r="J14" s="78">
        <v>19.526088000000001</v>
      </c>
      <c r="K14" s="78">
        <v>23.091943999999998</v>
      </c>
      <c r="L14" s="76">
        <f t="shared" si="1"/>
        <v>533.75609001624014</v>
      </c>
      <c r="M14" s="76">
        <f t="shared" si="1"/>
        <v>611.54365202948202</v>
      </c>
      <c r="N14" s="76">
        <f t="shared" si="1"/>
        <v>570</v>
      </c>
      <c r="O14" s="76">
        <f t="shared" si="2"/>
        <v>491.00000000000006</v>
      </c>
      <c r="P14" s="76">
        <f t="shared" si="2"/>
        <v>584</v>
      </c>
      <c r="Q14" s="135"/>
      <c r="R14" s="135"/>
    </row>
    <row r="15" spans="1:18" ht="30" customHeight="1" x14ac:dyDescent="0.2">
      <c r="A15" s="174" t="s">
        <v>11</v>
      </c>
      <c r="B15" s="63">
        <v>5</v>
      </c>
      <c r="C15" s="63">
        <v>3</v>
      </c>
      <c r="D15" s="78">
        <v>2</v>
      </c>
      <c r="E15" s="78">
        <v>1.9</v>
      </c>
      <c r="F15" s="78">
        <v>1</v>
      </c>
      <c r="G15" s="63">
        <v>1.4624999999999999</v>
      </c>
      <c r="H15" s="63">
        <v>1</v>
      </c>
      <c r="I15" s="78">
        <v>0.72599999999999998</v>
      </c>
      <c r="J15" s="78">
        <v>0.41229999999999994</v>
      </c>
      <c r="K15" s="78">
        <v>0.51300000000000001</v>
      </c>
      <c r="L15" s="76">
        <f t="shared" si="1"/>
        <v>292.5</v>
      </c>
      <c r="M15" s="76">
        <f t="shared" si="1"/>
        <v>333.33333333333331</v>
      </c>
      <c r="N15" s="76">
        <f t="shared" si="1"/>
        <v>363</v>
      </c>
      <c r="O15" s="76">
        <f t="shared" si="2"/>
        <v>216.99999999999997</v>
      </c>
      <c r="P15" s="76">
        <f t="shared" si="2"/>
        <v>513</v>
      </c>
      <c r="Q15" s="135"/>
      <c r="R15" s="135"/>
    </row>
    <row r="16" spans="1:18" ht="30" customHeight="1" x14ac:dyDescent="0.2">
      <c r="A16" s="174" t="s">
        <v>12</v>
      </c>
      <c r="B16" s="78">
        <v>0</v>
      </c>
      <c r="C16" s="63">
        <v>4</v>
      </c>
      <c r="D16" s="78">
        <v>0</v>
      </c>
      <c r="E16" s="78">
        <v>0</v>
      </c>
      <c r="F16" s="78">
        <v>0</v>
      </c>
      <c r="G16" s="78">
        <v>0</v>
      </c>
      <c r="H16" s="88">
        <v>0</v>
      </c>
      <c r="I16" s="78">
        <v>0</v>
      </c>
      <c r="J16" s="78">
        <v>0</v>
      </c>
      <c r="K16" s="78">
        <v>0</v>
      </c>
      <c r="L16" s="76" t="e">
        <f t="shared" si="1"/>
        <v>#DIV/0!</v>
      </c>
      <c r="M16" s="76">
        <f t="shared" si="1"/>
        <v>0</v>
      </c>
      <c r="N16" s="76" t="e">
        <f t="shared" si="1"/>
        <v>#DIV/0!</v>
      </c>
      <c r="O16" s="76" t="e">
        <f t="shared" si="2"/>
        <v>#DIV/0!</v>
      </c>
      <c r="P16" s="76" t="e">
        <f t="shared" si="2"/>
        <v>#DIV/0!</v>
      </c>
      <c r="Q16" s="135"/>
      <c r="R16" s="135"/>
    </row>
    <row r="17" spans="1:18" ht="30" customHeight="1" x14ac:dyDescent="0.2">
      <c r="A17" s="174" t="s">
        <v>13</v>
      </c>
      <c r="B17" s="63">
        <v>116</v>
      </c>
      <c r="C17" s="63">
        <v>121</v>
      </c>
      <c r="D17" s="78">
        <v>162</v>
      </c>
      <c r="E17" s="78">
        <v>38</v>
      </c>
      <c r="F17" s="78">
        <v>52</v>
      </c>
      <c r="G17" s="63">
        <v>55</v>
      </c>
      <c r="H17" s="63">
        <v>61</v>
      </c>
      <c r="I17" s="78">
        <v>86</v>
      </c>
      <c r="J17" s="78">
        <v>27.056000000000001</v>
      </c>
      <c r="K17" s="78">
        <v>45.084000000000003</v>
      </c>
      <c r="L17" s="76">
        <f t="shared" si="1"/>
        <v>474.13793103448279</v>
      </c>
      <c r="M17" s="76">
        <f t="shared" si="1"/>
        <v>504.13223140495865</v>
      </c>
      <c r="N17" s="76">
        <f t="shared" si="1"/>
        <v>530.8641975308642</v>
      </c>
      <c r="O17" s="76">
        <f t="shared" si="2"/>
        <v>712.00000000000011</v>
      </c>
      <c r="P17" s="76">
        <f t="shared" si="2"/>
        <v>867.00000000000011</v>
      </c>
      <c r="Q17" s="135"/>
      <c r="R17" s="135"/>
    </row>
    <row r="18" spans="1:18" ht="30" customHeight="1" x14ac:dyDescent="0.2">
      <c r="A18" s="173" t="s">
        <v>14</v>
      </c>
      <c r="B18" s="63">
        <v>16</v>
      </c>
      <c r="C18" s="63">
        <v>14.2</v>
      </c>
      <c r="D18" s="78">
        <v>11</v>
      </c>
      <c r="E18" s="78">
        <v>7</v>
      </c>
      <c r="F18" s="78">
        <v>5.49</v>
      </c>
      <c r="G18" s="63">
        <v>4</v>
      </c>
      <c r="H18" s="63">
        <v>3.4</v>
      </c>
      <c r="I18" s="78">
        <v>3.2229999999999999</v>
      </c>
      <c r="J18" s="78">
        <v>2.66</v>
      </c>
      <c r="K18" s="78">
        <v>1.93797</v>
      </c>
      <c r="L18" s="76">
        <f t="shared" si="1"/>
        <v>250</v>
      </c>
      <c r="M18" s="76">
        <f t="shared" si="1"/>
        <v>239.43661971830988</v>
      </c>
      <c r="N18" s="76">
        <f t="shared" si="1"/>
        <v>293</v>
      </c>
      <c r="O18" s="76">
        <f t="shared" si="2"/>
        <v>380</v>
      </c>
      <c r="P18" s="76">
        <f t="shared" si="2"/>
        <v>353</v>
      </c>
      <c r="Q18" s="135"/>
      <c r="R18" s="135"/>
    </row>
    <row r="19" spans="1:18" ht="30" hidden="1" customHeight="1" x14ac:dyDescent="0.2">
      <c r="A19" s="173" t="s">
        <v>36</v>
      </c>
      <c r="B19" s="63"/>
      <c r="C19" s="63"/>
      <c r="D19" s="78"/>
      <c r="E19" s="78"/>
      <c r="F19" s="78"/>
      <c r="G19" s="63"/>
      <c r="H19" s="63"/>
      <c r="I19" s="78"/>
      <c r="J19" s="78">
        <v>0</v>
      </c>
      <c r="K19" s="78"/>
      <c r="L19" s="76"/>
      <c r="M19" s="76"/>
      <c r="N19" s="76"/>
      <c r="O19" s="76" t="e">
        <f t="shared" si="2"/>
        <v>#DIV/0!</v>
      </c>
      <c r="P19" s="76" t="e">
        <f t="shared" si="2"/>
        <v>#DIV/0!</v>
      </c>
      <c r="Q19" s="135"/>
      <c r="R19" s="135"/>
    </row>
    <row r="20" spans="1:18" ht="30" customHeight="1" x14ac:dyDescent="0.2">
      <c r="A20" s="173" t="s">
        <v>37</v>
      </c>
      <c r="B20" s="63">
        <v>9.0999999999999998E-2</v>
      </c>
      <c r="C20" s="63">
        <v>0.09</v>
      </c>
      <c r="D20" s="78">
        <v>9.2999999999999999E-2</v>
      </c>
      <c r="E20" s="78">
        <v>9.4E-2</v>
      </c>
      <c r="F20" s="78">
        <v>0.09</v>
      </c>
      <c r="G20" s="63">
        <v>5.2999999999999999E-2</v>
      </c>
      <c r="H20" s="63">
        <v>0.05</v>
      </c>
      <c r="I20" s="78">
        <v>5.4962999999999998E-2</v>
      </c>
      <c r="J20" s="78">
        <v>5.6024000000000004E-2</v>
      </c>
      <c r="K20" s="78">
        <v>5.3999999999999999E-2</v>
      </c>
      <c r="L20" s="76">
        <f t="shared" ref="L20:N24" si="3">G20/B20*1000</f>
        <v>582.41758241758248</v>
      </c>
      <c r="M20" s="76">
        <f t="shared" si="3"/>
        <v>555.55555555555554</v>
      </c>
      <c r="N20" s="76">
        <f t="shared" si="3"/>
        <v>591</v>
      </c>
      <c r="O20" s="76">
        <f t="shared" si="2"/>
        <v>596.00000000000011</v>
      </c>
      <c r="P20" s="76">
        <f t="shared" si="2"/>
        <v>600</v>
      </c>
      <c r="Q20" s="135"/>
      <c r="R20" s="135"/>
    </row>
    <row r="21" spans="1:18" ht="30" customHeight="1" x14ac:dyDescent="0.2">
      <c r="A21" s="173" t="s">
        <v>15</v>
      </c>
      <c r="B21" s="63">
        <v>5.79</v>
      </c>
      <c r="C21" s="63">
        <v>5.81</v>
      </c>
      <c r="D21" s="78">
        <v>5.84</v>
      </c>
      <c r="E21" s="78">
        <v>5.85</v>
      </c>
      <c r="F21" s="78">
        <v>5.86</v>
      </c>
      <c r="G21" s="63">
        <v>4.68</v>
      </c>
      <c r="H21" s="63">
        <v>4.71</v>
      </c>
      <c r="I21" s="78">
        <v>4.7479199999999997</v>
      </c>
      <c r="J21" s="78">
        <v>4.7618999999999998</v>
      </c>
      <c r="K21" s="78">
        <v>4.7700399999999998</v>
      </c>
      <c r="L21" s="76">
        <f t="shared" si="3"/>
        <v>808.29015544041454</v>
      </c>
      <c r="M21" s="76">
        <f t="shared" si="3"/>
        <v>810.67125645438898</v>
      </c>
      <c r="N21" s="76">
        <f t="shared" si="3"/>
        <v>813</v>
      </c>
      <c r="O21" s="76">
        <f t="shared" si="2"/>
        <v>814</v>
      </c>
      <c r="P21" s="76">
        <f t="shared" si="2"/>
        <v>814</v>
      </c>
      <c r="Q21" s="135"/>
      <c r="R21" s="135"/>
    </row>
    <row r="22" spans="1:18" ht="30" customHeight="1" x14ac:dyDescent="0.2">
      <c r="A22" s="174" t="s">
        <v>101</v>
      </c>
      <c r="B22" s="63">
        <v>20.7</v>
      </c>
      <c r="C22" s="63">
        <v>16.21</v>
      </c>
      <c r="D22" s="78">
        <v>12.26</v>
      </c>
      <c r="E22" s="78">
        <v>11.56</v>
      </c>
      <c r="F22" s="78">
        <v>10.17</v>
      </c>
      <c r="G22" s="63">
        <v>9.873899999999999</v>
      </c>
      <c r="H22" s="63">
        <v>7.78</v>
      </c>
      <c r="I22" s="78">
        <v>5.9460999999999995</v>
      </c>
      <c r="J22" s="78">
        <v>5.5834800000000007</v>
      </c>
      <c r="K22" s="78">
        <v>5.0443199999999999</v>
      </c>
      <c r="L22" s="76">
        <f t="shared" si="3"/>
        <v>477</v>
      </c>
      <c r="M22" s="76">
        <f t="shared" si="3"/>
        <v>479.95064774830348</v>
      </c>
      <c r="N22" s="76">
        <f t="shared" si="3"/>
        <v>485</v>
      </c>
      <c r="O22" s="76">
        <f t="shared" si="2"/>
        <v>483.00000000000006</v>
      </c>
      <c r="P22" s="76">
        <f t="shared" si="2"/>
        <v>496</v>
      </c>
      <c r="Q22" s="135"/>
      <c r="R22" s="135"/>
    </row>
    <row r="23" spans="1:18" ht="30" hidden="1" customHeight="1" x14ac:dyDescent="0.2">
      <c r="A23" s="174" t="s">
        <v>17</v>
      </c>
      <c r="B23" s="63"/>
      <c r="C23" s="63"/>
      <c r="D23" s="78"/>
      <c r="E23" s="78"/>
      <c r="F23" s="78"/>
      <c r="G23" s="63"/>
      <c r="H23" s="63"/>
      <c r="I23" s="78">
        <v>0</v>
      </c>
      <c r="J23" s="78">
        <v>0</v>
      </c>
      <c r="K23" s="78"/>
      <c r="L23" s="76" t="e">
        <f t="shared" si="3"/>
        <v>#DIV/0!</v>
      </c>
      <c r="M23" s="76" t="e">
        <f t="shared" si="3"/>
        <v>#DIV/0!</v>
      </c>
      <c r="N23" s="76" t="e">
        <f t="shared" si="3"/>
        <v>#DIV/0!</v>
      </c>
      <c r="O23" s="76" t="e">
        <f t="shared" si="2"/>
        <v>#DIV/0!</v>
      </c>
      <c r="P23" s="76" t="e">
        <f t="shared" si="2"/>
        <v>#DIV/0!</v>
      </c>
      <c r="Q23" s="135"/>
      <c r="R23" s="135"/>
    </row>
    <row r="24" spans="1:18" ht="30" customHeight="1" x14ac:dyDescent="0.2">
      <c r="A24" s="174" t="s">
        <v>18</v>
      </c>
      <c r="B24" s="63">
        <v>1.845</v>
      </c>
      <c r="C24" s="63">
        <v>34.951000000000001</v>
      </c>
      <c r="D24" s="78">
        <v>4.9779999999999998</v>
      </c>
      <c r="E24" s="78">
        <v>3.3929999999999998</v>
      </c>
      <c r="F24" s="78">
        <v>4.7949999999999999</v>
      </c>
      <c r="G24" s="63">
        <v>1.869</v>
      </c>
      <c r="H24" s="63">
        <v>38.929000000000002</v>
      </c>
      <c r="I24" s="78">
        <v>5.0377359999999998</v>
      </c>
      <c r="J24" s="78">
        <v>3.4235369999999996</v>
      </c>
      <c r="K24" s="78">
        <v>4.6223799999999997</v>
      </c>
      <c r="L24" s="76">
        <f t="shared" si="3"/>
        <v>1013.0081300813008</v>
      </c>
      <c r="M24" s="76">
        <f t="shared" si="3"/>
        <v>1113.8164859374554</v>
      </c>
      <c r="N24" s="76">
        <f t="shared" si="3"/>
        <v>1012</v>
      </c>
      <c r="O24" s="76">
        <f t="shared" si="2"/>
        <v>1008.9999999999999</v>
      </c>
      <c r="P24" s="76">
        <f t="shared" si="2"/>
        <v>964</v>
      </c>
      <c r="Q24" s="135"/>
      <c r="R24" s="135"/>
    </row>
    <row r="25" spans="1:18" ht="30" hidden="1" customHeight="1" x14ac:dyDescent="0.2">
      <c r="A25" s="174" t="s">
        <v>51</v>
      </c>
      <c r="B25" s="63"/>
      <c r="C25" s="63"/>
      <c r="D25" s="78"/>
      <c r="E25" s="78"/>
      <c r="F25" s="78"/>
      <c r="G25" s="63"/>
      <c r="H25" s="63"/>
      <c r="I25" s="78"/>
      <c r="J25" s="78">
        <v>0</v>
      </c>
      <c r="K25" s="78"/>
      <c r="L25" s="76"/>
      <c r="M25" s="76"/>
      <c r="N25" s="76"/>
      <c r="O25" s="76" t="e">
        <f t="shared" si="2"/>
        <v>#DIV/0!</v>
      </c>
      <c r="P25" s="76" t="e">
        <f t="shared" si="2"/>
        <v>#DIV/0!</v>
      </c>
      <c r="Q25" s="135"/>
      <c r="R25" s="135"/>
    </row>
    <row r="26" spans="1:18" ht="30" customHeight="1" x14ac:dyDescent="0.2">
      <c r="A26" s="174" t="s">
        <v>52</v>
      </c>
      <c r="B26" s="63">
        <v>0</v>
      </c>
      <c r="C26" s="63">
        <v>0.15</v>
      </c>
      <c r="D26" s="78">
        <v>0.12</v>
      </c>
      <c r="E26" s="78">
        <v>5.2999999999999999E-2</v>
      </c>
      <c r="F26" s="78">
        <v>9.2999999999999999E-2</v>
      </c>
      <c r="G26" s="63">
        <v>0</v>
      </c>
      <c r="H26" s="63">
        <v>0.105</v>
      </c>
      <c r="I26" s="78">
        <v>8.4000000000000005E-2</v>
      </c>
      <c r="J26" s="78">
        <v>4.1021999999999996E-2</v>
      </c>
      <c r="K26" s="78">
        <v>0</v>
      </c>
      <c r="L26" s="76" t="e">
        <f t="shared" ref="L26:N31" si="4">G26/B26*1000</f>
        <v>#DIV/0!</v>
      </c>
      <c r="M26" s="76">
        <f t="shared" si="4"/>
        <v>700</v>
      </c>
      <c r="N26" s="76">
        <f t="shared" si="4"/>
        <v>700.00000000000011</v>
      </c>
      <c r="O26" s="76">
        <f t="shared" si="2"/>
        <v>773.99999999999989</v>
      </c>
      <c r="P26" s="76">
        <f t="shared" si="2"/>
        <v>0</v>
      </c>
      <c r="Q26" s="135"/>
      <c r="R26" s="135"/>
    </row>
    <row r="27" spans="1:18" ht="30" customHeight="1" x14ac:dyDescent="0.2">
      <c r="A27" s="174" t="s">
        <v>22</v>
      </c>
      <c r="B27" s="63">
        <v>17</v>
      </c>
      <c r="C27" s="63">
        <v>32</v>
      </c>
      <c r="D27" s="78">
        <v>26</v>
      </c>
      <c r="E27" s="78">
        <v>28</v>
      </c>
      <c r="F27" s="78">
        <v>27</v>
      </c>
      <c r="G27" s="63">
        <v>7.82</v>
      </c>
      <c r="H27" s="63">
        <v>17</v>
      </c>
      <c r="I27" s="78">
        <v>15.651999999999999</v>
      </c>
      <c r="J27" s="78">
        <v>17.667999999999999</v>
      </c>
      <c r="K27" s="78">
        <v>18.576000000000001</v>
      </c>
      <c r="L27" s="76">
        <f t="shared" si="4"/>
        <v>460</v>
      </c>
      <c r="M27" s="76">
        <f t="shared" si="4"/>
        <v>531.25</v>
      </c>
      <c r="N27" s="76">
        <f t="shared" si="4"/>
        <v>602</v>
      </c>
      <c r="O27" s="76">
        <f t="shared" si="2"/>
        <v>631</v>
      </c>
      <c r="P27" s="76">
        <f t="shared" si="2"/>
        <v>688</v>
      </c>
      <c r="Q27" s="135"/>
      <c r="R27" s="135"/>
    </row>
    <row r="28" spans="1:18" ht="30" hidden="1" customHeight="1" x14ac:dyDescent="0.2">
      <c r="A28" s="171" t="s">
        <v>84</v>
      </c>
      <c r="B28" s="63">
        <v>0</v>
      </c>
      <c r="C28" s="63">
        <v>0</v>
      </c>
      <c r="D28" s="78">
        <v>0</v>
      </c>
      <c r="E28" s="78">
        <v>0</v>
      </c>
      <c r="F28" s="78"/>
      <c r="G28" s="63">
        <v>0</v>
      </c>
      <c r="H28" s="63">
        <v>0</v>
      </c>
      <c r="I28" s="78">
        <v>0</v>
      </c>
      <c r="J28" s="78">
        <v>0</v>
      </c>
      <c r="K28" s="78"/>
      <c r="L28" s="76" t="e">
        <f t="shared" si="4"/>
        <v>#DIV/0!</v>
      </c>
      <c r="M28" s="76" t="e">
        <f t="shared" si="4"/>
        <v>#DIV/0!</v>
      </c>
      <c r="N28" s="76" t="e">
        <f t="shared" si="4"/>
        <v>#DIV/0!</v>
      </c>
      <c r="O28" s="76" t="e">
        <f t="shared" si="2"/>
        <v>#DIV/0!</v>
      </c>
      <c r="P28" s="76" t="e">
        <f t="shared" si="2"/>
        <v>#DIV/0!</v>
      </c>
      <c r="Q28" s="135"/>
      <c r="R28" s="135"/>
    </row>
    <row r="29" spans="1:18" ht="30" customHeight="1" x14ac:dyDescent="0.2">
      <c r="A29" s="174" t="s">
        <v>23</v>
      </c>
      <c r="B29" s="63">
        <v>6.1909999999999998</v>
      </c>
      <c r="C29" s="63">
        <v>6.6050000000000004</v>
      </c>
      <c r="D29" s="78">
        <v>6</v>
      </c>
      <c r="E29" s="78">
        <v>3.9449999999999998</v>
      </c>
      <c r="F29" s="78">
        <v>4.0549999999999997</v>
      </c>
      <c r="G29" s="63">
        <v>2.4</v>
      </c>
      <c r="H29" s="63">
        <v>2.4470000000000001</v>
      </c>
      <c r="I29" s="78">
        <v>2.5</v>
      </c>
      <c r="J29" s="78">
        <v>1.7594700000000001</v>
      </c>
      <c r="K29" s="78">
        <v>2.096435</v>
      </c>
      <c r="L29" s="76">
        <f t="shared" si="4"/>
        <v>387.65950573413016</v>
      </c>
      <c r="M29" s="76">
        <f t="shared" si="4"/>
        <v>370.47691143073428</v>
      </c>
      <c r="N29" s="76">
        <f t="shared" si="4"/>
        <v>416.66666666666669</v>
      </c>
      <c r="O29" s="76">
        <f t="shared" si="2"/>
        <v>446.00000000000006</v>
      </c>
      <c r="P29" s="76">
        <f t="shared" si="2"/>
        <v>517</v>
      </c>
      <c r="Q29" s="135"/>
      <c r="R29" s="135"/>
    </row>
    <row r="30" spans="1:18" ht="30" hidden="1" customHeight="1" x14ac:dyDescent="0.2">
      <c r="A30" s="126" t="s">
        <v>139</v>
      </c>
      <c r="B30" s="63"/>
      <c r="C30" s="63"/>
      <c r="D30" s="78"/>
      <c r="E30" s="78"/>
      <c r="F30" s="78"/>
      <c r="G30" s="63"/>
      <c r="H30" s="63"/>
      <c r="I30" s="78"/>
      <c r="J30" s="78">
        <v>0</v>
      </c>
      <c r="K30" s="78"/>
      <c r="L30" s="76" t="e">
        <f t="shared" si="4"/>
        <v>#DIV/0!</v>
      </c>
      <c r="M30" s="76" t="e">
        <f t="shared" si="4"/>
        <v>#DIV/0!</v>
      </c>
      <c r="N30" s="76" t="e">
        <f t="shared" si="4"/>
        <v>#DIV/0!</v>
      </c>
      <c r="O30" s="76" t="e">
        <f t="shared" si="2"/>
        <v>#DIV/0!</v>
      </c>
      <c r="P30" s="76" t="e">
        <f t="shared" si="2"/>
        <v>#DIV/0!</v>
      </c>
      <c r="Q30" s="135"/>
      <c r="R30" s="135"/>
    </row>
    <row r="31" spans="1:18" s="18" customFormat="1" ht="30" customHeight="1" x14ac:dyDescent="0.2">
      <c r="A31" s="174" t="s">
        <v>68</v>
      </c>
      <c r="B31" s="81">
        <f>SUM(B7:B29)</f>
        <v>262.85899999999998</v>
      </c>
      <c r="C31" s="81">
        <f>SUM(C7:C29)</f>
        <v>325.21600000000001</v>
      </c>
      <c r="D31" s="81">
        <f>SUM(D7:D29)</f>
        <v>326.18099999999998</v>
      </c>
      <c r="E31" s="130">
        <f>SUM(E7:E30)</f>
        <v>172.70599999999999</v>
      </c>
      <c r="F31" s="130">
        <f>SUM(F7:F30)</f>
        <v>179.90199999999996</v>
      </c>
      <c r="G31" s="81">
        <f>SUM(G7:G29)</f>
        <v>125.494392</v>
      </c>
      <c r="H31" s="81">
        <f>SUM(H7:H29)</f>
        <v>184.25</v>
      </c>
      <c r="I31" s="81">
        <f>SUM(I7:I29)</f>
        <v>173.75984999999997</v>
      </c>
      <c r="J31" s="81">
        <f>SUM(J7:J30)</f>
        <v>99.072289999999981</v>
      </c>
      <c r="K31" s="81">
        <f>SUM(K7:K30)</f>
        <v>120.66223899999999</v>
      </c>
      <c r="L31" s="77">
        <f t="shared" si="4"/>
        <v>477.4209443085457</v>
      </c>
      <c r="M31" s="77">
        <f t="shared" si="4"/>
        <v>566.54654137557804</v>
      </c>
      <c r="N31" s="77">
        <f t="shared" si="4"/>
        <v>532.70990646297605</v>
      </c>
      <c r="O31" s="77">
        <f t="shared" si="2"/>
        <v>573.6470649543154</v>
      </c>
      <c r="P31" s="77">
        <f t="shared" si="2"/>
        <v>670.71093706573583</v>
      </c>
      <c r="Q31" s="136"/>
      <c r="R31" s="136"/>
    </row>
    <row r="32" spans="1:18" x14ac:dyDescent="0.2">
      <c r="A32" s="38"/>
    </row>
    <row r="33" spans="2:1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2:11" x14ac:dyDescent="0.2">
      <c r="B34" s="49"/>
      <c r="C34" s="49"/>
      <c r="D34" s="49"/>
      <c r="E34" s="49"/>
      <c r="F34" s="49"/>
      <c r="G34" s="49"/>
      <c r="H34" s="49"/>
      <c r="I34" s="49"/>
      <c r="J34" s="49"/>
      <c r="K34" s="49"/>
    </row>
  </sheetData>
  <mergeCells count="5">
    <mergeCell ref="A5:A6"/>
    <mergeCell ref="A3:M3"/>
    <mergeCell ref="B5:F5"/>
    <mergeCell ref="G5:K5"/>
    <mergeCell ref="L5:P5"/>
  </mergeCells>
  <phoneticPr fontId="0" type="noConversion"/>
  <printOptions horizontalCentered="1" verticalCentered="1"/>
  <pageMargins left="0" right="0" top="0.11811023622047245" bottom="0.23622047244094491" header="0.11811023622047245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34</vt:i4>
      </vt:variant>
    </vt:vector>
  </HeadingPairs>
  <TitlesOfParts>
    <vt:vector size="52" baseType="lpstr">
      <vt:lpstr>Summary U</vt:lpstr>
      <vt:lpstr>G Nut U</vt:lpstr>
      <vt:lpstr>Castor U</vt:lpstr>
      <vt:lpstr>Sesamum U</vt:lpstr>
      <vt:lpstr>Niger U</vt:lpstr>
      <vt:lpstr>Soyabean U</vt:lpstr>
      <vt:lpstr>Sunflower U</vt:lpstr>
      <vt:lpstr>R &amp; M U</vt:lpstr>
      <vt:lpstr>Linseed U</vt:lpstr>
      <vt:lpstr>Safflower U</vt:lpstr>
      <vt:lpstr>Kh Oil U</vt:lpstr>
      <vt:lpstr>Rb Oil  U</vt:lpstr>
      <vt:lpstr>Tot Oil U</vt:lpstr>
      <vt:lpstr>Sugarcane </vt:lpstr>
      <vt:lpstr>Cotton </vt:lpstr>
      <vt:lpstr>Jute </vt:lpstr>
      <vt:lpstr>Mesta U</vt:lpstr>
      <vt:lpstr>J &amp; M </vt:lpstr>
      <vt:lpstr>'Castor U'!Print_Area</vt:lpstr>
      <vt:lpstr>'Cotton '!Print_Area</vt:lpstr>
      <vt:lpstr>'G Nut U'!Print_Area</vt:lpstr>
      <vt:lpstr>'J &amp; M '!Print_Area</vt:lpstr>
      <vt:lpstr>'Jute '!Print_Area</vt:lpstr>
      <vt:lpstr>'Kh Oil U'!Print_Area</vt:lpstr>
      <vt:lpstr>'Linseed U'!Print_Area</vt:lpstr>
      <vt:lpstr>'Mesta U'!Print_Area</vt:lpstr>
      <vt:lpstr>'Niger U'!Print_Area</vt:lpstr>
      <vt:lpstr>'R &amp; M U'!Print_Area</vt:lpstr>
      <vt:lpstr>'Rb Oil  U'!Print_Area</vt:lpstr>
      <vt:lpstr>'Safflower U'!Print_Area</vt:lpstr>
      <vt:lpstr>'Sesamum U'!Print_Area</vt:lpstr>
      <vt:lpstr>'Soyabean U'!Print_Area</vt:lpstr>
      <vt:lpstr>'Sugarcane '!Print_Area</vt:lpstr>
      <vt:lpstr>'Summary U'!Print_Area</vt:lpstr>
      <vt:lpstr>'Sunflower U'!Print_Area</vt:lpstr>
      <vt:lpstr>'Tot Oil U'!Print_Area</vt:lpstr>
      <vt:lpstr>'Castor U'!Print_Titles</vt:lpstr>
      <vt:lpstr>'J &amp; M '!Print_Titles</vt:lpstr>
      <vt:lpstr>'Jute '!Print_Titles</vt:lpstr>
      <vt:lpstr>'Kh Oil U'!Print_Titles</vt:lpstr>
      <vt:lpstr>'Linseed U'!Print_Titles</vt:lpstr>
      <vt:lpstr>'Mesta U'!Print_Titles</vt:lpstr>
      <vt:lpstr>'Niger U'!Print_Titles</vt:lpstr>
      <vt:lpstr>'R &amp; M U'!Print_Titles</vt:lpstr>
      <vt:lpstr>'Rb Oil  U'!Print_Titles</vt:lpstr>
      <vt:lpstr>'Safflower U'!Print_Titles</vt:lpstr>
      <vt:lpstr>'Sesamum U'!Print_Titles</vt:lpstr>
      <vt:lpstr>'Soyabean U'!Print_Titles</vt:lpstr>
      <vt:lpstr>'Sugarcane '!Print_Titles</vt:lpstr>
      <vt:lpstr>'Summary U'!Print_Titles</vt:lpstr>
      <vt:lpstr>'Sunflower U'!Print_Titles</vt:lpstr>
      <vt:lpstr>'Tot Oil 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 Division</dc:creator>
  <cp:lastModifiedBy>HP</cp:lastModifiedBy>
  <cp:lastPrinted>2021-04-19T09:45:47Z</cp:lastPrinted>
  <dcterms:created xsi:type="dcterms:W3CDTF">2004-03-23T07:05:13Z</dcterms:created>
  <dcterms:modified xsi:type="dcterms:W3CDTF">2021-05-18T07:09:57Z</dcterms:modified>
</cp:coreProperties>
</file>