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165" windowWidth="9720" windowHeight="4455" tabRatio="910" firstSheet="2" activeTab="17"/>
  </bookViews>
  <sheets>
    <sheet name="Summary U" sheetId="1" r:id="rId1"/>
    <sheet name="G Nut U" sheetId="2" r:id="rId2"/>
    <sheet name="Castor U" sheetId="3" r:id="rId3"/>
    <sheet name="Niger U" sheetId="4" r:id="rId4"/>
    <sheet name="Sesamum U" sheetId="5" r:id="rId5"/>
    <sheet name="R &amp; M U" sheetId="6" r:id="rId6"/>
    <sheet name="Linseed U" sheetId="7" r:id="rId7"/>
    <sheet name="Safflower U" sheetId="8" r:id="rId8"/>
    <sheet name="Sunflower U" sheetId="9" r:id="rId9"/>
    <sheet name="Soyabean U" sheetId="10" r:id="rId10"/>
    <sheet name="Kh Oil U" sheetId="11" r:id="rId11"/>
    <sheet name="Rb Oil  U" sheetId="12" r:id="rId12"/>
    <sheet name="Tot Oil U" sheetId="13" r:id="rId13"/>
    <sheet name="Sugarcane " sheetId="14" r:id="rId14"/>
    <sheet name="Cotton " sheetId="15" r:id="rId15"/>
    <sheet name="Jute " sheetId="16" r:id="rId16"/>
    <sheet name="Mesta U" sheetId="17" r:id="rId17"/>
    <sheet name="J &amp; M " sheetId="18" r:id="rId18"/>
  </sheets>
  <definedNames>
    <definedName name="_xlnm.Print_Area" localSheetId="2">'Castor U'!$A$1:$P$23</definedName>
    <definedName name="_xlnm.Print_Area" localSheetId="14">'Cotton '!$A$1:$P$29</definedName>
    <definedName name="_xlnm.Print_Area" localSheetId="1">'G Nut U'!$A$1:$Q$66</definedName>
    <definedName name="_xlnm.Print_Area" localSheetId="17">'J &amp; M '!$A$1:$P$24</definedName>
    <definedName name="_xlnm.Print_Area" localSheetId="15">'Jute '!$A$1:$P$13</definedName>
    <definedName name="_xlnm.Print_Area" localSheetId="10">'Kh Oil U'!$A$1:$P$36</definedName>
    <definedName name="_xlnm.Print_Area" localSheetId="6">'Linseed U'!$A$1:$P$25</definedName>
    <definedName name="_xlnm.Print_Area" localSheetId="16">'Mesta U'!$A$1:$P$20</definedName>
    <definedName name="_xlnm.Print_Area" localSheetId="3">'Niger U'!$A$1:$P$19</definedName>
    <definedName name="_xlnm.Print_Area" localSheetId="5">'R &amp; M U'!$A$1:$P$35</definedName>
    <definedName name="_xlnm.Print_Area" localSheetId="11">'Rb Oil  U'!$A$1:$P$37</definedName>
    <definedName name="_xlnm.Print_Area" localSheetId="7">'Safflower U'!$A$1:$P$17</definedName>
    <definedName name="_xlnm.Print_Area" localSheetId="4">'Sesamum U'!$A$1:$P$34</definedName>
    <definedName name="_xlnm.Print_Area" localSheetId="9">'Soyabean U'!$A$1:$P$26</definedName>
    <definedName name="_xlnm.Print_Area" localSheetId="13">'Sugarcane '!$A$1:$P$36</definedName>
    <definedName name="_xlnm.Print_Area" localSheetId="0">'Summary U'!$A$1:$Q$32</definedName>
    <definedName name="_xlnm.Print_Area" localSheetId="8">'Sunflower U'!$A$1:$Q$47</definedName>
    <definedName name="_xlnm.Print_Area" localSheetId="12">'Tot Oil U'!$A$1:$P$37</definedName>
    <definedName name="_xlnm.Print_Titles" localSheetId="2">'Castor U'!$A:$A</definedName>
    <definedName name="_xlnm.Print_Titles" localSheetId="1">'G Nut U'!$A:$B,'G Nut U'!$1:$3</definedName>
    <definedName name="_xlnm.Print_Titles" localSheetId="17">'J &amp; M '!$A:$A</definedName>
    <definedName name="_xlnm.Print_Titles" localSheetId="15">'Jute '!$A:$A</definedName>
    <definedName name="_xlnm.Print_Titles" localSheetId="10">'Kh Oil U'!$A:$A</definedName>
    <definedName name="_xlnm.Print_Titles" localSheetId="6">'Linseed U'!$A:$A</definedName>
    <definedName name="_xlnm.Print_Titles" localSheetId="16">'Mesta U'!$A:$A</definedName>
    <definedName name="_xlnm.Print_Titles" localSheetId="3">'Niger U'!$A:$A</definedName>
    <definedName name="_xlnm.Print_Titles" localSheetId="5">'R &amp; M U'!$A:$A</definedName>
    <definedName name="_xlnm.Print_Titles" localSheetId="11">'Rb Oil  U'!$A:$A</definedName>
    <definedName name="_xlnm.Print_Titles" localSheetId="7">'Safflower U'!$A:$A</definedName>
    <definedName name="_xlnm.Print_Titles" localSheetId="4">'Sesamum U'!$A:$A</definedName>
    <definedName name="_xlnm.Print_Titles" localSheetId="9">'Soyabean U'!$A:$A</definedName>
    <definedName name="_xlnm.Print_Titles" localSheetId="13">'Sugarcane '!$A:$A</definedName>
    <definedName name="_xlnm.Print_Titles" localSheetId="0">'Summary U'!$A:$B</definedName>
    <definedName name="_xlnm.Print_Titles" localSheetId="8">'Sunflower U'!$A:$B</definedName>
    <definedName name="_xlnm.Print_Titles" localSheetId="12">'Tot Oil U'!$A:$A</definedName>
  </definedNames>
  <calcPr fullCalcOnLoad="1"/>
</workbook>
</file>

<file path=xl/sharedStrings.xml><?xml version="1.0" encoding="utf-8"?>
<sst xmlns="http://schemas.openxmlformats.org/spreadsheetml/2006/main" count="1064" uniqueCount="142">
  <si>
    <t>STATES</t>
  </si>
  <si>
    <t>Andhra Pradesh</t>
  </si>
  <si>
    <t>Kharif</t>
  </si>
  <si>
    <t>Rabi/Summer</t>
  </si>
  <si>
    <t>Total</t>
  </si>
  <si>
    <t xml:space="preserve">Bihar                       </t>
  </si>
  <si>
    <t>Chhattisgarh</t>
  </si>
  <si>
    <t>Goa</t>
  </si>
  <si>
    <t>Gujarat</t>
  </si>
  <si>
    <t xml:space="preserve">Haryana </t>
  </si>
  <si>
    <t xml:space="preserve">Himachal Pradesh </t>
  </si>
  <si>
    <t>Karnataka</t>
  </si>
  <si>
    <t>Kerala</t>
  </si>
  <si>
    <t>Madhya Pradesh</t>
  </si>
  <si>
    <t>Maharashtra</t>
  </si>
  <si>
    <t>Nagaland</t>
  </si>
  <si>
    <t>Summer</t>
  </si>
  <si>
    <t>Punjab</t>
  </si>
  <si>
    <t>Rajasthan</t>
  </si>
  <si>
    <t>Tamil Nadu</t>
  </si>
  <si>
    <t xml:space="preserve">Tripura </t>
  </si>
  <si>
    <t>Rabi</t>
  </si>
  <si>
    <t>Uttar Pradesh</t>
  </si>
  <si>
    <t>West Bengal</t>
  </si>
  <si>
    <t xml:space="preserve">All India                             </t>
  </si>
  <si>
    <t xml:space="preserve">Assam  </t>
  </si>
  <si>
    <t xml:space="preserve">Bihar                                 </t>
  </si>
  <si>
    <t>Chattisgarh</t>
  </si>
  <si>
    <t xml:space="preserve">Rajasthan </t>
  </si>
  <si>
    <t>Assam</t>
  </si>
  <si>
    <t>Chhatisgarh</t>
  </si>
  <si>
    <t xml:space="preserve">Jharkhand  </t>
  </si>
  <si>
    <t xml:space="preserve">D &amp; N Haveli   </t>
  </si>
  <si>
    <t>Arunachal Pradesh</t>
  </si>
  <si>
    <t xml:space="preserve">Bihar    </t>
  </si>
  <si>
    <t>Haryana</t>
  </si>
  <si>
    <t xml:space="preserve">Jammu &amp; Kashmir  </t>
  </si>
  <si>
    <t>Manipur</t>
  </si>
  <si>
    <t>Meghalaya</t>
  </si>
  <si>
    <t>Mizoram</t>
  </si>
  <si>
    <t xml:space="preserve">Tripura   </t>
  </si>
  <si>
    <t>Bihar</t>
  </si>
  <si>
    <t>Jammu &amp; Kashmir</t>
  </si>
  <si>
    <t xml:space="preserve">Sikkim  </t>
  </si>
  <si>
    <t xml:space="preserve">Delhi </t>
  </si>
  <si>
    <t>All India</t>
  </si>
  <si>
    <t>Himachal Pradesh</t>
  </si>
  <si>
    <t xml:space="preserve">Bihar  </t>
  </si>
  <si>
    <t xml:space="preserve">Punjab </t>
  </si>
  <si>
    <t xml:space="preserve">Tamil Nadu  </t>
  </si>
  <si>
    <t xml:space="preserve">Gujarat  </t>
  </si>
  <si>
    <t>Jharkhand</t>
  </si>
  <si>
    <t>Sikkim</t>
  </si>
  <si>
    <t>Tripura</t>
  </si>
  <si>
    <t>D &amp; N Havelli</t>
  </si>
  <si>
    <t>Delhi</t>
  </si>
  <si>
    <t>Groundnut</t>
  </si>
  <si>
    <t>Castorseed</t>
  </si>
  <si>
    <t>Nigerseed</t>
  </si>
  <si>
    <t>Sesamum</t>
  </si>
  <si>
    <t>Rapeseed &amp; Mustard</t>
  </si>
  <si>
    <t>Linseed</t>
  </si>
  <si>
    <t>Safflower</t>
  </si>
  <si>
    <t>Sunflower</t>
  </si>
  <si>
    <t>Soyabean</t>
  </si>
  <si>
    <t>Edible Oilseeds</t>
  </si>
  <si>
    <t>Non Edible Oilseeds</t>
  </si>
  <si>
    <t>Total Nine Oilseeds</t>
  </si>
  <si>
    <t xml:space="preserve">Bihar                    </t>
  </si>
  <si>
    <t xml:space="preserve">All India                  </t>
  </si>
  <si>
    <t xml:space="preserve">All India                     </t>
  </si>
  <si>
    <t xml:space="preserve">Bihar                          </t>
  </si>
  <si>
    <t xml:space="preserve">Rabi </t>
  </si>
  <si>
    <t xml:space="preserve">Total </t>
  </si>
  <si>
    <t xml:space="preserve">West Bengal  </t>
  </si>
  <si>
    <t xml:space="preserve">Punjab               </t>
  </si>
  <si>
    <t xml:space="preserve">Rajasthan    </t>
  </si>
  <si>
    <t xml:space="preserve">Uttar Pradesh </t>
  </si>
  <si>
    <t>States</t>
  </si>
  <si>
    <t>Yield (Kgs./Hect.)</t>
  </si>
  <si>
    <t>Season</t>
  </si>
  <si>
    <t>Area (' 000 Hectares)</t>
  </si>
  <si>
    <t>Production ('000 Tonnes)</t>
  </si>
  <si>
    <t>D &amp; N Haveli</t>
  </si>
  <si>
    <t>2003-04</t>
  </si>
  <si>
    <r>
      <t xml:space="preserve">Estimates of  Area, Production and Yield of </t>
    </r>
    <r>
      <rPr>
        <b/>
        <sz val="16"/>
        <rFont val="Arial"/>
        <family val="2"/>
      </rPr>
      <t>Linseed</t>
    </r>
  </si>
  <si>
    <t>Uttarakhand</t>
  </si>
  <si>
    <t>(Continued)</t>
  </si>
  <si>
    <t>(Concluded)</t>
  </si>
  <si>
    <t>Others</t>
  </si>
  <si>
    <t>Cotton@</t>
  </si>
  <si>
    <t>Jute$</t>
  </si>
  <si>
    <t>Mesta$</t>
  </si>
  <si>
    <t>Sugarcane</t>
  </si>
  <si>
    <t>@ Thousand bales of 170 kgs each.</t>
  </si>
  <si>
    <t>$ Thousand bales of 180 kgs each.</t>
  </si>
  <si>
    <r>
      <t xml:space="preserve">All  India   Area, Production and Yield of  </t>
    </r>
    <r>
      <rPr>
        <b/>
        <sz val="14"/>
        <rFont val="Arial"/>
        <family val="2"/>
      </rPr>
      <t>Oilseeds and Commercial Crops</t>
    </r>
  </si>
  <si>
    <t>Jute &amp; Mesta$</t>
  </si>
  <si>
    <t>Crop</t>
  </si>
  <si>
    <t>Production ( '000 Bales of 170 Kgs. each)</t>
  </si>
  <si>
    <t>#</t>
  </si>
  <si>
    <t>NA</t>
  </si>
  <si>
    <t>#Included in others, NA: Not Applicable.</t>
  </si>
  <si>
    <t xml:space="preserve">All India </t>
  </si>
  <si>
    <r>
      <t xml:space="preserve">Estimates of  Area, Production and Yield of </t>
    </r>
    <r>
      <rPr>
        <b/>
        <sz val="14"/>
        <rFont val="Arial"/>
        <family val="2"/>
      </rPr>
      <t>Jute &amp; Mesta</t>
    </r>
  </si>
  <si>
    <t>STATES/UT</t>
  </si>
  <si>
    <t xml:space="preserve">Chhattisgarh  </t>
  </si>
  <si>
    <t xml:space="preserve">Meghalaya </t>
  </si>
  <si>
    <t xml:space="preserve">Mizoram  </t>
  </si>
  <si>
    <t xml:space="preserve">Tripura  </t>
  </si>
  <si>
    <t xml:space="preserve">A &amp; N Islands  </t>
  </si>
  <si>
    <t>Odisha</t>
  </si>
  <si>
    <t>2012-13</t>
  </si>
  <si>
    <t>2013-14</t>
  </si>
  <si>
    <t>A &amp; N Islands</t>
  </si>
  <si>
    <t>2014-15</t>
  </si>
  <si>
    <t>Telangana</t>
  </si>
  <si>
    <t xml:space="preserve">Odisha      </t>
  </si>
  <si>
    <t xml:space="preserve">Odisha          </t>
  </si>
  <si>
    <t>Production ( '000 Bales of 180 Kgs. each)</t>
  </si>
  <si>
    <t>NA: Not Applicable.</t>
  </si>
  <si>
    <t>2015-16</t>
  </si>
  <si>
    <t>2016-17</t>
  </si>
  <si>
    <t>D&amp;N Haveli</t>
  </si>
  <si>
    <t>D &amp; Nagar Haveli</t>
  </si>
  <si>
    <r>
      <t xml:space="preserve">Estimates of Area, Production and Yield of </t>
    </r>
    <r>
      <rPr>
        <b/>
        <sz val="16"/>
        <rFont val="Arial"/>
        <family val="2"/>
      </rPr>
      <t>Groundnut</t>
    </r>
  </si>
  <si>
    <t xml:space="preserve">Puducherry    </t>
  </si>
  <si>
    <t>Puducherry</t>
  </si>
  <si>
    <r>
      <t xml:space="preserve">Estimates of  Area, Production and Yield of </t>
    </r>
    <r>
      <rPr>
        <b/>
        <sz val="16"/>
        <rFont val="Arial"/>
        <family val="2"/>
      </rPr>
      <t>Castorseed</t>
    </r>
  </si>
  <si>
    <r>
      <t xml:space="preserve">Estimates of  Area, Production and Yield of </t>
    </r>
    <r>
      <rPr>
        <b/>
        <sz val="16"/>
        <rFont val="Arial"/>
        <family val="2"/>
      </rPr>
      <t>Nigerseed</t>
    </r>
  </si>
  <si>
    <r>
      <t xml:space="preserve">Estimates of Area, Production and Yield of  </t>
    </r>
    <r>
      <rPr>
        <b/>
        <sz val="16"/>
        <rFont val="Arial"/>
        <family val="2"/>
      </rPr>
      <t>Sesamum</t>
    </r>
  </si>
  <si>
    <r>
      <t xml:space="preserve">Estimates of  Area, Production and Yield of </t>
    </r>
    <r>
      <rPr>
        <b/>
        <sz val="16"/>
        <rFont val="Arial"/>
        <family val="2"/>
      </rPr>
      <t>Rapeseed &amp; Mustard</t>
    </r>
  </si>
  <si>
    <r>
      <t xml:space="preserve">Estimates of Area, Production and Yield of </t>
    </r>
    <r>
      <rPr>
        <b/>
        <sz val="18"/>
        <rFont val="Arial"/>
        <family val="2"/>
      </rPr>
      <t>Safflower</t>
    </r>
  </si>
  <si>
    <r>
      <t xml:space="preserve">Estimates of  Area, Production and Yield of  </t>
    </r>
    <r>
      <rPr>
        <b/>
        <sz val="16"/>
        <rFont val="Arial"/>
        <family val="2"/>
      </rPr>
      <t>Soyabean</t>
    </r>
  </si>
  <si>
    <r>
      <t xml:space="preserve">Estimates of Area, Production and Yield of </t>
    </r>
    <r>
      <rPr>
        <b/>
        <sz val="16"/>
        <rFont val="Arial"/>
        <family val="2"/>
      </rPr>
      <t>Sunflower</t>
    </r>
  </si>
  <si>
    <r>
      <t xml:space="preserve">Estimates of  Area, Production and Yield of  </t>
    </r>
    <r>
      <rPr>
        <b/>
        <sz val="16"/>
        <rFont val="Arial"/>
        <family val="2"/>
      </rPr>
      <t>Kharif Oilseeds</t>
    </r>
  </si>
  <si>
    <r>
      <t xml:space="preserve">Estimates of  Area, Production and Yield of </t>
    </r>
    <r>
      <rPr>
        <b/>
        <sz val="16"/>
        <rFont val="Arial"/>
        <family val="2"/>
      </rPr>
      <t>Rabi Oilseeds</t>
    </r>
  </si>
  <si>
    <r>
      <t xml:space="preserve">Estimates of  Area, Production and Yield of </t>
    </r>
    <r>
      <rPr>
        <b/>
        <sz val="16"/>
        <rFont val="Arial"/>
        <family val="2"/>
      </rPr>
      <t xml:space="preserve"> Total Oilseeds</t>
    </r>
  </si>
  <si>
    <r>
      <rPr>
        <sz val="16"/>
        <rFont val="Arial"/>
        <family val="2"/>
      </rPr>
      <t xml:space="preserve">Estimates of  Area, Production and Yield  of </t>
    </r>
    <r>
      <rPr>
        <b/>
        <sz val="16"/>
        <rFont val="Arial"/>
        <family val="2"/>
      </rPr>
      <t>Sugarcane</t>
    </r>
  </si>
  <si>
    <r>
      <t xml:space="preserve"> Estimates of Area, Production and Yield of </t>
    </r>
    <r>
      <rPr>
        <b/>
        <sz val="16"/>
        <rFont val="Arial"/>
        <family val="2"/>
      </rPr>
      <t>Cotton</t>
    </r>
  </si>
  <si>
    <r>
      <t xml:space="preserve">Estimates of Area, Production and Yield of </t>
    </r>
    <r>
      <rPr>
        <b/>
        <sz val="16"/>
        <rFont val="Arial"/>
        <family val="2"/>
      </rPr>
      <t>Jute</t>
    </r>
  </si>
  <si>
    <r>
      <t xml:space="preserve">Estimates of  Area, Production and Yield of </t>
    </r>
    <r>
      <rPr>
        <b/>
        <sz val="16"/>
        <rFont val="Arial"/>
        <family val="2"/>
      </rPr>
      <t>Mesta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</si>
</sst>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"/>
    <numFmt numFmtId="185" formatCode="&quot;$&quot;#,##0.0"/>
    <numFmt numFmtId="186" formatCode="0.00000000"/>
    <numFmt numFmtId="187" formatCode="0.000000000"/>
    <numFmt numFmtId="188" formatCode="0.0000000000"/>
    <numFmt numFmtId="189" formatCode="0.000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%"/>
    <numFmt numFmtId="199" formatCode="0_)"/>
    <numFmt numFmtId="200" formatCode="0.0;[Red]0.0"/>
    <numFmt numFmtId="201" formatCode="#,##0.0;[Red]#,##0.0"/>
    <numFmt numFmtId="202" formatCode="&quot;$&quot;#,##0.0;[Red]&quot;$&quot;#,##0.0"/>
    <numFmt numFmtId="203" formatCode="0.00;[Red]0.00"/>
    <numFmt numFmtId="204" formatCode="0;[Red]0"/>
    <numFmt numFmtId="205" formatCode="0.000;[Red]0.000"/>
    <numFmt numFmtId="206" formatCode="0.0000;[Red]0.0000"/>
  </numFmts>
  <fonts count="55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18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4" fontId="1" fillId="0" borderId="10" xfId="0" applyNumberFormat="1" applyFont="1" applyBorder="1" applyAlignment="1">
      <alignment vertical="center" wrapText="1"/>
    </xf>
    <xf numFmtId="184" fontId="1" fillId="0" borderId="11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8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184" fontId="1" fillId="0" borderId="10" xfId="0" applyNumberFormat="1" applyFont="1" applyBorder="1" applyAlignment="1">
      <alignment horizontal="left" vertical="center"/>
    </xf>
    <xf numFmtId="18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4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184" fontId="1" fillId="0" borderId="12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horizontal="left" vertical="center" indent="1"/>
    </xf>
    <xf numFmtId="184" fontId="1" fillId="0" borderId="13" xfId="0" applyNumberFormat="1" applyFont="1" applyBorder="1" applyAlignment="1">
      <alignment horizontal="right"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84" fontId="1" fillId="0" borderId="0" xfId="0" applyNumberFormat="1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184" fontId="2" fillId="0" borderId="0" xfId="57" applyNumberFormat="1" applyFont="1" applyAlignment="1">
      <alignment vertical="center"/>
      <protection/>
    </xf>
    <xf numFmtId="184" fontId="2" fillId="0" borderId="10" xfId="57" applyNumberFormat="1" applyFont="1" applyBorder="1" applyAlignment="1">
      <alignment horizontal="right" vertical="center" wrapText="1"/>
      <protection/>
    </xf>
    <xf numFmtId="0" fontId="2" fillId="0" borderId="0" xfId="57" applyFont="1" applyAlignment="1">
      <alignment horizontal="right" vertical="center"/>
      <protection/>
    </xf>
    <xf numFmtId="184" fontId="2" fillId="0" borderId="10" xfId="57" applyNumberFormat="1" applyFont="1" applyBorder="1" applyAlignment="1">
      <alignment vertical="center"/>
      <protection/>
    </xf>
    <xf numFmtId="1" fontId="2" fillId="0" borderId="10" xfId="57" applyNumberFormat="1" applyFont="1" applyBorder="1" applyAlignment="1">
      <alignment horizontal="right" vertical="center"/>
      <protection/>
    </xf>
    <xf numFmtId="184" fontId="2" fillId="0" borderId="0" xfId="57" applyNumberFormat="1" applyFont="1" applyBorder="1" applyAlignment="1">
      <alignment vertical="center"/>
      <protection/>
    </xf>
    <xf numFmtId="1" fontId="3" fillId="0" borderId="0" xfId="57" applyNumberFormat="1" applyFont="1" applyBorder="1" applyAlignment="1">
      <alignment horizontal="center" vertical="center"/>
      <protection/>
    </xf>
    <xf numFmtId="184" fontId="2" fillId="0" borderId="10" xfId="57" applyNumberFormat="1" applyFont="1" applyBorder="1" applyAlignment="1">
      <alignment horizontal="left" vertical="center" indent="1"/>
      <protection/>
    </xf>
    <xf numFmtId="1" fontId="2" fillId="0" borderId="0" xfId="57" applyNumberFormat="1" applyFont="1" applyAlignment="1">
      <alignment vertical="center"/>
      <protection/>
    </xf>
    <xf numFmtId="0" fontId="1" fillId="0" borderId="0" xfId="57" applyFont="1" applyAlignment="1">
      <alignment vertical="center"/>
      <protection/>
    </xf>
    <xf numFmtId="184" fontId="1" fillId="0" borderId="0" xfId="57" applyNumberFormat="1" applyFont="1" applyAlignment="1">
      <alignment vertical="center"/>
      <protection/>
    </xf>
    <xf numFmtId="184" fontId="1" fillId="0" borderId="10" xfId="57" applyNumberFormat="1" applyFont="1" applyBorder="1" applyAlignment="1">
      <alignment horizontal="right" vertical="center"/>
      <protection/>
    </xf>
    <xf numFmtId="0" fontId="1" fillId="0" borderId="0" xfId="57" applyFont="1" applyAlignment="1">
      <alignment horizontal="right" vertical="center"/>
      <protection/>
    </xf>
    <xf numFmtId="184" fontId="1" fillId="0" borderId="10" xfId="57" applyNumberFormat="1" applyFont="1" applyBorder="1" applyAlignment="1">
      <alignment vertical="center"/>
      <protection/>
    </xf>
    <xf numFmtId="1" fontId="1" fillId="0" borderId="10" xfId="57" applyNumberFormat="1" applyFont="1" applyBorder="1" applyAlignment="1">
      <alignment vertical="center"/>
      <protection/>
    </xf>
    <xf numFmtId="1" fontId="5" fillId="0" borderId="0" xfId="57" applyNumberFormat="1" applyFont="1" applyBorder="1" applyAlignment="1">
      <alignment horizontal="center" vertical="center"/>
      <protection/>
    </xf>
    <xf numFmtId="184" fontId="2" fillId="0" borderId="0" xfId="57" applyNumberFormat="1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1" fontId="1" fillId="0" borderId="11" xfId="57" applyNumberFormat="1" applyFont="1" applyBorder="1" applyAlignment="1">
      <alignment vertical="center"/>
      <protection/>
    </xf>
    <xf numFmtId="1" fontId="2" fillId="0" borderId="0" xfId="57" applyNumberFormat="1" applyFont="1" applyBorder="1" applyAlignment="1">
      <alignment horizontal="center" vertical="center"/>
      <protection/>
    </xf>
    <xf numFmtId="1" fontId="2" fillId="0" borderId="10" xfId="57" applyNumberFormat="1" applyFont="1" applyBorder="1" applyAlignment="1">
      <alignment horizontal="center" vertical="center"/>
      <protection/>
    </xf>
    <xf numFmtId="1" fontId="2" fillId="0" borderId="0" xfId="57" applyNumberFormat="1" applyFont="1" applyAlignment="1">
      <alignment horizontal="center" vertical="center"/>
      <protection/>
    </xf>
    <xf numFmtId="184" fontId="2" fillId="0" borderId="10" xfId="57" applyNumberFormat="1" applyFont="1" applyBorder="1" applyAlignment="1">
      <alignment horizontal="left" vertical="center"/>
      <protection/>
    </xf>
    <xf numFmtId="18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4" fontId="2" fillId="0" borderId="14" xfId="57" applyNumberFormat="1" applyFont="1" applyBorder="1" applyAlignment="1">
      <alignment vertical="center"/>
      <protection/>
    </xf>
    <xf numFmtId="19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84" fontId="5" fillId="0" borderId="13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84" fontId="2" fillId="0" borderId="15" xfId="57" applyNumberFormat="1" applyFont="1" applyBorder="1" applyAlignment="1">
      <alignment horizontal="right" vertical="center" wrapText="1"/>
      <protection/>
    </xf>
    <xf numFmtId="184" fontId="1" fillId="0" borderId="0" xfId="0" applyNumberFormat="1" applyFont="1" applyAlignment="1">
      <alignment horizontal="right" vertical="center"/>
    </xf>
    <xf numFmtId="1" fontId="1" fillId="0" borderId="10" xfId="57" applyNumberFormat="1" applyFont="1" applyBorder="1" applyAlignment="1">
      <alignment horizontal="right" vertical="center"/>
      <protection/>
    </xf>
    <xf numFmtId="1" fontId="1" fillId="0" borderId="0" xfId="57" applyNumberFormat="1" applyFont="1" applyBorder="1" applyAlignment="1">
      <alignment horizontal="center" vertical="center"/>
      <protection/>
    </xf>
    <xf numFmtId="194" fontId="1" fillId="0" borderId="0" xfId="0" applyNumberFormat="1" applyFont="1" applyBorder="1" applyAlignment="1">
      <alignment horizontal="right" vertical="center"/>
    </xf>
    <xf numFmtId="200" fontId="1" fillId="0" borderId="10" xfId="0" applyNumberFormat="1" applyFont="1" applyBorder="1" applyAlignment="1">
      <alignment horizontal="right" vertical="center"/>
    </xf>
    <xf numFmtId="200" fontId="1" fillId="0" borderId="10" xfId="0" applyNumberFormat="1" applyFont="1" applyBorder="1" applyAlignment="1">
      <alignment vertical="center"/>
    </xf>
    <xf numFmtId="200" fontId="5" fillId="0" borderId="10" xfId="0" applyNumberFormat="1" applyFont="1" applyBorder="1" applyAlignment="1">
      <alignment vertical="center"/>
    </xf>
    <xf numFmtId="200" fontId="1" fillId="0" borderId="16" xfId="0" applyNumberFormat="1" applyFont="1" applyBorder="1" applyAlignment="1">
      <alignment horizontal="right" vertical="center"/>
    </xf>
    <xf numFmtId="200" fontId="1" fillId="0" borderId="16" xfId="0" applyNumberFormat="1" applyFont="1" applyBorder="1" applyAlignment="1">
      <alignment vertical="center"/>
    </xf>
    <xf numFmtId="200" fontId="1" fillId="0" borderId="12" xfId="0" applyNumberFormat="1" applyFont="1" applyBorder="1" applyAlignment="1">
      <alignment vertical="center"/>
    </xf>
    <xf numFmtId="200" fontId="1" fillId="0" borderId="0" xfId="0" applyNumberFormat="1" applyFont="1" applyBorder="1" applyAlignment="1">
      <alignment horizontal="right" vertical="center"/>
    </xf>
    <xf numFmtId="200" fontId="1" fillId="0" borderId="10" xfId="61" applyNumberFormat="1" applyFont="1" applyBorder="1" applyAlignment="1">
      <alignment horizontal="right" vertical="center"/>
    </xf>
    <xf numFmtId="200" fontId="1" fillId="0" borderId="17" xfId="0" applyNumberFormat="1" applyFont="1" applyBorder="1" applyAlignment="1">
      <alignment horizontal="right" vertical="center"/>
    </xf>
    <xf numFmtId="200" fontId="1" fillId="0" borderId="10" xfId="61" applyNumberFormat="1" applyFont="1" applyBorder="1" applyAlignment="1">
      <alignment vertical="center"/>
    </xf>
    <xf numFmtId="200" fontId="1" fillId="0" borderId="10" xfId="0" applyNumberFormat="1" applyFont="1" applyFill="1" applyBorder="1" applyAlignment="1">
      <alignment vertical="center"/>
    </xf>
    <xf numFmtId="200" fontId="1" fillId="0" borderId="10" xfId="0" applyNumberFormat="1" applyFont="1" applyBorder="1" applyAlignment="1">
      <alignment horizontal="right" vertical="center" wrapText="1"/>
    </xf>
    <xf numFmtId="200" fontId="1" fillId="0" borderId="0" xfId="0" applyNumberFormat="1" applyFont="1" applyAlignment="1">
      <alignment horizontal="right" vertical="center"/>
    </xf>
    <xf numFmtId="200" fontId="1" fillId="0" borderId="10" xfId="58" applyNumberFormat="1" applyFont="1" applyFill="1" applyBorder="1" applyAlignment="1" applyProtection="1">
      <alignment horizontal="right" vertical="center"/>
      <protection/>
    </xf>
    <xf numFmtId="200" fontId="1" fillId="0" borderId="14" xfId="0" applyNumberFormat="1" applyFont="1" applyBorder="1" applyAlignment="1">
      <alignment horizontal="right" vertical="center"/>
    </xf>
    <xf numFmtId="200" fontId="1" fillId="33" borderId="10" xfId="0" applyNumberFormat="1" applyFont="1" applyFill="1" applyBorder="1" applyAlignment="1">
      <alignment vertical="center"/>
    </xf>
    <xf numFmtId="200" fontId="1" fillId="0" borderId="10" xfId="57" applyNumberFormat="1" applyFont="1" applyBorder="1" applyAlignment="1">
      <alignment horizontal="right" vertical="center"/>
      <protection/>
    </xf>
    <xf numFmtId="200" fontId="1" fillId="0" borderId="0" xfId="57" applyNumberFormat="1" applyFont="1" applyAlignment="1">
      <alignment horizontal="right" vertical="center"/>
      <protection/>
    </xf>
    <xf numFmtId="200" fontId="1" fillId="0" borderId="14" xfId="57" applyNumberFormat="1" applyFont="1" applyBorder="1" applyAlignment="1">
      <alignment horizontal="right" vertical="center"/>
      <protection/>
    </xf>
    <xf numFmtId="184" fontId="1" fillId="0" borderId="0" xfId="57" applyNumberFormat="1" applyFont="1" applyBorder="1" applyAlignment="1">
      <alignment vertical="center"/>
      <protection/>
    </xf>
    <xf numFmtId="200" fontId="1" fillId="0" borderId="12" xfId="0" applyNumberFormat="1" applyFont="1" applyBorder="1" applyAlignment="1">
      <alignment horizontal="right" vertical="center"/>
    </xf>
    <xf numFmtId="204" fontId="1" fillId="0" borderId="10" xfId="0" applyNumberFormat="1" applyFont="1" applyBorder="1" applyAlignment="1">
      <alignment vertical="center"/>
    </xf>
    <xf numFmtId="204" fontId="1" fillId="0" borderId="0" xfId="0" applyNumberFormat="1" applyFont="1" applyBorder="1" applyAlignment="1">
      <alignment vertical="center"/>
    </xf>
    <xf numFmtId="204" fontId="4" fillId="0" borderId="0" xfId="0" applyNumberFormat="1" applyFont="1" applyBorder="1" applyAlignment="1">
      <alignment vertical="center"/>
    </xf>
    <xf numFmtId="204" fontId="1" fillId="0" borderId="0" xfId="0" applyNumberFormat="1" applyFont="1" applyBorder="1" applyAlignment="1">
      <alignment horizontal="right" vertical="center"/>
    </xf>
    <xf numFmtId="204" fontId="1" fillId="0" borderId="10" xfId="0" applyNumberFormat="1" applyFont="1" applyBorder="1" applyAlignment="1">
      <alignment horizontal="right" vertical="center"/>
    </xf>
    <xf numFmtId="204" fontId="1" fillId="0" borderId="10" xfId="57" applyNumberFormat="1" applyFont="1" applyBorder="1" applyAlignment="1">
      <alignment horizontal="right" vertical="center"/>
      <protection/>
    </xf>
    <xf numFmtId="204" fontId="1" fillId="0" borderId="10" xfId="57" applyNumberFormat="1" applyFont="1" applyBorder="1" applyAlignment="1">
      <alignment vertical="center"/>
      <protection/>
    </xf>
    <xf numFmtId="200" fontId="1" fillId="0" borderId="0" xfId="0" applyNumberFormat="1" applyFont="1" applyAlignment="1">
      <alignment vertical="center"/>
    </xf>
    <xf numFmtId="200" fontId="4" fillId="0" borderId="0" xfId="0" applyNumberFormat="1" applyFont="1" applyAlignment="1">
      <alignment vertical="center"/>
    </xf>
    <xf numFmtId="200" fontId="1" fillId="0" borderId="0" xfId="0" applyNumberFormat="1" applyFont="1" applyAlignment="1">
      <alignment/>
    </xf>
    <xf numFmtId="200" fontId="2" fillId="0" borderId="0" xfId="0" applyNumberFormat="1" applyFont="1" applyAlignment="1">
      <alignment vertical="center"/>
    </xf>
    <xf numFmtId="200" fontId="2" fillId="0" borderId="0" xfId="57" applyNumberFormat="1" applyFont="1" applyAlignment="1">
      <alignment vertical="center"/>
      <protection/>
    </xf>
    <xf numFmtId="200" fontId="1" fillId="0" borderId="0" xfId="57" applyNumberFormat="1" applyFont="1" applyAlignment="1">
      <alignment vertical="center"/>
      <protection/>
    </xf>
    <xf numFmtId="184" fontId="2" fillId="0" borderId="10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200" fontId="52" fillId="0" borderId="0" xfId="57" applyNumberFormat="1" applyFont="1" applyFill="1" applyAlignment="1">
      <alignment vertical="center"/>
      <protection/>
    </xf>
    <xf numFmtId="184" fontId="1" fillId="0" borderId="10" xfId="57" applyNumberFormat="1" applyFont="1" applyFill="1" applyBorder="1" applyAlignment="1">
      <alignment horizontal="right" vertical="center"/>
      <protection/>
    </xf>
    <xf numFmtId="184" fontId="2" fillId="0" borderId="10" xfId="57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200" fontId="1" fillId="0" borderId="0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1" fillId="0" borderId="10" xfId="0" applyFont="1" applyBorder="1" applyAlignment="1">
      <alignment/>
    </xf>
    <xf numFmtId="205" fontId="1" fillId="0" borderId="0" xfId="0" applyNumberFormat="1" applyFont="1" applyAlignment="1">
      <alignment/>
    </xf>
    <xf numFmtId="184" fontId="1" fillId="0" borderId="18" xfId="0" applyNumberFormat="1" applyFont="1" applyFill="1" applyBorder="1" applyAlignment="1">
      <alignment vertical="center"/>
    </xf>
    <xf numFmtId="184" fontId="1" fillId="0" borderId="16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84" fontId="1" fillId="0" borderId="20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204" fontId="1" fillId="0" borderId="16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184" fontId="5" fillId="0" borderId="22" xfId="0" applyNumberFormat="1" applyFont="1" applyFill="1" applyBorder="1" applyAlignment="1">
      <alignment vertical="center"/>
    </xf>
    <xf numFmtId="200" fontId="5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184" fontId="5" fillId="0" borderId="14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left" vertical="center"/>
    </xf>
    <xf numFmtId="204" fontId="5" fillId="0" borderId="10" xfId="0" applyNumberFormat="1" applyFont="1" applyBorder="1" applyAlignment="1">
      <alignment vertical="center"/>
    </xf>
    <xf numFmtId="204" fontId="5" fillId="0" borderId="1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200" fontId="5" fillId="0" borderId="16" xfId="0" applyNumberFormat="1" applyFont="1" applyBorder="1" applyAlignment="1">
      <alignment vertical="center"/>
    </xf>
    <xf numFmtId="200" fontId="5" fillId="0" borderId="16" xfId="0" applyNumberFormat="1" applyFont="1" applyBorder="1" applyAlignment="1">
      <alignment horizontal="right" vertical="center"/>
    </xf>
    <xf numFmtId="200" fontId="5" fillId="0" borderId="10" xfId="0" applyNumberFormat="1" applyFont="1" applyBorder="1" applyAlignment="1">
      <alignment vertical="center" wrapText="1"/>
    </xf>
    <xf numFmtId="184" fontId="5" fillId="0" borderId="1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204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indent="1"/>
    </xf>
    <xf numFmtId="184" fontId="5" fillId="0" borderId="10" xfId="0" applyNumberFormat="1" applyFont="1" applyBorder="1" applyAlignment="1">
      <alignment horizontal="left" vertical="center" indent="1"/>
    </xf>
    <xf numFmtId="184" fontId="5" fillId="0" borderId="15" xfId="0" applyNumberFormat="1" applyFont="1" applyBorder="1" applyAlignment="1">
      <alignment horizontal="left" vertical="center" indent="1"/>
    </xf>
    <xf numFmtId="200" fontId="5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18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4" fontId="3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84" fontId="5" fillId="0" borderId="10" xfId="57" applyNumberFormat="1" applyFont="1" applyBorder="1" applyAlignment="1">
      <alignment horizontal="center" vertical="center" wrapText="1"/>
      <protection/>
    </xf>
    <xf numFmtId="184" fontId="3" fillId="0" borderId="10" xfId="57" applyNumberFormat="1" applyFont="1" applyBorder="1" applyAlignment="1">
      <alignment horizontal="right" vertical="center" wrapText="1"/>
      <protection/>
    </xf>
    <xf numFmtId="184" fontId="3" fillId="0" borderId="10" xfId="57" applyNumberFormat="1" applyFont="1" applyBorder="1" applyAlignment="1">
      <alignment horizontal="left" vertical="center"/>
      <protection/>
    </xf>
    <xf numFmtId="200" fontId="5" fillId="0" borderId="10" xfId="57" applyNumberFormat="1" applyFont="1" applyBorder="1" applyAlignment="1">
      <alignment horizontal="right" vertical="center"/>
      <protection/>
    </xf>
    <xf numFmtId="204" fontId="5" fillId="0" borderId="10" xfId="57" applyNumberFormat="1" applyFont="1" applyBorder="1" applyAlignment="1">
      <alignment horizontal="right" vertical="center"/>
      <protection/>
    </xf>
    <xf numFmtId="0" fontId="3" fillId="0" borderId="0" xfId="57" applyFont="1" applyAlignment="1">
      <alignment vertical="center"/>
      <protection/>
    </xf>
    <xf numFmtId="184" fontId="3" fillId="0" borderId="10" xfId="57" applyNumberFormat="1" applyFont="1" applyBorder="1" applyAlignment="1">
      <alignment vertical="center"/>
      <protection/>
    </xf>
    <xf numFmtId="184" fontId="3" fillId="0" borderId="10" xfId="57" applyNumberFormat="1" applyFont="1" applyBorder="1" applyAlignment="1">
      <alignment horizontal="center" vertical="center" wrapText="1"/>
      <protection/>
    </xf>
    <xf numFmtId="184" fontId="3" fillId="0" borderId="10" xfId="57" applyNumberFormat="1" applyFont="1" applyBorder="1" applyAlignment="1">
      <alignment horizontal="left" vertical="center" indent="1"/>
      <protection/>
    </xf>
    <xf numFmtId="200" fontId="2" fillId="0" borderId="10" xfId="57" applyNumberFormat="1" applyFont="1" applyBorder="1" applyAlignment="1">
      <alignment horizontal="right" vertical="center"/>
      <protection/>
    </xf>
    <xf numFmtId="200" fontId="2" fillId="0" borderId="10" xfId="0" applyNumberFormat="1" applyFont="1" applyBorder="1" applyAlignment="1">
      <alignment vertical="center"/>
    </xf>
    <xf numFmtId="200" fontId="2" fillId="0" borderId="16" xfId="57" applyNumberFormat="1" applyFont="1" applyBorder="1" applyAlignment="1">
      <alignment horizontal="right" vertical="center"/>
      <protection/>
    </xf>
    <xf numFmtId="204" fontId="2" fillId="0" borderId="10" xfId="57" applyNumberFormat="1" applyFont="1" applyBorder="1" applyAlignment="1">
      <alignment horizontal="right" vertical="center"/>
      <protection/>
    </xf>
    <xf numFmtId="200" fontId="2" fillId="0" borderId="10" xfId="0" applyNumberFormat="1" applyFont="1" applyBorder="1" applyAlignment="1">
      <alignment horizontal="right" vertical="center"/>
    </xf>
    <xf numFmtId="200" fontId="3" fillId="0" borderId="10" xfId="57" applyNumberFormat="1" applyFont="1" applyBorder="1" applyAlignment="1">
      <alignment horizontal="right" vertical="center"/>
      <protection/>
    </xf>
    <xf numFmtId="204" fontId="3" fillId="0" borderId="10" xfId="57" applyNumberFormat="1" applyFont="1" applyBorder="1" applyAlignment="1">
      <alignment horizontal="right" vertical="center"/>
      <protection/>
    </xf>
    <xf numFmtId="184" fontId="5" fillId="0" borderId="10" xfId="57" applyNumberFormat="1" applyFont="1" applyBorder="1" applyAlignment="1">
      <alignment vertical="center"/>
      <protection/>
    </xf>
    <xf numFmtId="0" fontId="5" fillId="0" borderId="0" xfId="57" applyFont="1" applyAlignment="1">
      <alignment vertical="center"/>
      <protection/>
    </xf>
    <xf numFmtId="200" fontId="3" fillId="0" borderId="10" xfId="57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vertical="center"/>
    </xf>
    <xf numFmtId="184" fontId="1" fillId="0" borderId="14" xfId="0" applyNumberFormat="1" applyFont="1" applyBorder="1" applyAlignment="1">
      <alignment horizontal="left" vertical="center"/>
    </xf>
    <xf numFmtId="184" fontId="1" fillId="0" borderId="20" xfId="0" applyNumberFormat="1" applyFont="1" applyBorder="1" applyAlignment="1">
      <alignment horizontal="left" vertical="center"/>
    </xf>
    <xf numFmtId="184" fontId="1" fillId="0" borderId="15" xfId="0" applyNumberFormat="1" applyFont="1" applyBorder="1" applyAlignment="1">
      <alignment horizontal="left" vertical="center"/>
    </xf>
    <xf numFmtId="184" fontId="1" fillId="0" borderId="10" xfId="0" applyNumberFormat="1" applyFont="1" applyBorder="1" applyAlignment="1">
      <alignment horizontal="left" vertical="center"/>
    </xf>
    <xf numFmtId="184" fontId="1" fillId="0" borderId="14" xfId="0" applyNumberFormat="1" applyFont="1" applyBorder="1" applyAlignment="1">
      <alignment horizontal="left" vertical="top" wrapText="1"/>
    </xf>
    <xf numFmtId="184" fontId="1" fillId="0" borderId="20" xfId="0" applyNumberFormat="1" applyFont="1" applyBorder="1" applyAlignment="1">
      <alignment horizontal="left" vertical="top" wrapText="1"/>
    </xf>
    <xf numFmtId="184" fontId="1" fillId="0" borderId="15" xfId="0" applyNumberFormat="1" applyFont="1" applyBorder="1" applyAlignment="1">
      <alignment horizontal="left" vertical="top" wrapText="1"/>
    </xf>
    <xf numFmtId="184" fontId="1" fillId="0" borderId="10" xfId="0" applyNumberFormat="1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vertical="center"/>
    </xf>
    <xf numFmtId="184" fontId="1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13" fillId="0" borderId="0" xfId="0" applyNumberFormat="1" applyFont="1" applyAlignment="1">
      <alignment horizontal="center" vertical="center"/>
    </xf>
    <xf numFmtId="184" fontId="5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4" fontId="1" fillId="0" borderId="19" xfId="0" applyNumberFormat="1" applyFont="1" applyBorder="1" applyAlignment="1">
      <alignment vertical="top"/>
    </xf>
    <xf numFmtId="184" fontId="1" fillId="0" borderId="18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horizontal="left" vertical="top"/>
    </xf>
    <xf numFmtId="184" fontId="6" fillId="0" borderId="21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left" vertical="top"/>
    </xf>
    <xf numFmtId="184" fontId="1" fillId="0" borderId="20" xfId="0" applyNumberFormat="1" applyFont="1" applyBorder="1" applyAlignment="1">
      <alignment horizontal="left" vertical="top"/>
    </xf>
    <xf numFmtId="184" fontId="1" fillId="0" borderId="15" xfId="0" applyNumberFormat="1" applyFont="1" applyBorder="1" applyAlignment="1">
      <alignment horizontal="left" vertical="top"/>
    </xf>
    <xf numFmtId="184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184" fontId="3" fillId="0" borderId="10" xfId="57" applyNumberFormat="1" applyFont="1" applyBorder="1" applyAlignment="1">
      <alignment horizontal="center" vertical="center"/>
      <protection/>
    </xf>
    <xf numFmtId="184" fontId="7" fillId="0" borderId="21" xfId="57" applyNumberFormat="1" applyFont="1" applyBorder="1" applyAlignment="1">
      <alignment horizontal="center" vertical="center"/>
      <protection/>
    </xf>
    <xf numFmtId="184" fontId="6" fillId="0" borderId="0" xfId="57" applyNumberFormat="1" applyFont="1" applyAlignment="1">
      <alignment horizontal="center" vertical="center"/>
      <protection/>
    </xf>
    <xf numFmtId="0" fontId="3" fillId="0" borderId="16" xfId="57" applyFont="1" applyBorder="1" applyAlignment="1">
      <alignment horizontal="center" vertical="center"/>
      <protection/>
    </xf>
    <xf numFmtId="0" fontId="3" fillId="0" borderId="23" xfId="57" applyFont="1" applyBorder="1" applyAlignment="1">
      <alignment horizontal="center" vertical="center"/>
      <protection/>
    </xf>
    <xf numFmtId="0" fontId="3" fillId="0" borderId="13" xfId="57" applyFont="1" applyBorder="1" applyAlignment="1">
      <alignment horizontal="center" vertical="center"/>
      <protection/>
    </xf>
    <xf numFmtId="184" fontId="5" fillId="0" borderId="10" xfId="57" applyNumberFormat="1" applyFont="1" applyBorder="1" applyAlignment="1">
      <alignment horizontal="center" vertical="center"/>
      <protection/>
    </xf>
    <xf numFmtId="184" fontId="2" fillId="0" borderId="10" xfId="57" applyNumberFormat="1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6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4" fontId="2" fillId="0" borderId="0" xfId="57" applyNumberFormat="1" applyFont="1" applyBorder="1" applyAlignment="1">
      <alignment horizontal="center" vertical="center"/>
      <protection/>
    </xf>
    <xf numFmtId="184" fontId="3" fillId="0" borderId="10" xfId="57" applyNumberFormat="1" applyFont="1" applyFill="1" applyBorder="1" applyAlignment="1">
      <alignment vertical="center"/>
      <protection/>
    </xf>
    <xf numFmtId="204" fontId="5" fillId="0" borderId="10" xfId="57" applyNumberFormat="1" applyFont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dvance 27.06.0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4"/>
  <sheetViews>
    <sheetView view="pageBreakPreview" zoomScale="70" zoomScaleNormal="60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" sqref="A6:IV6"/>
    </sheetView>
  </sheetViews>
  <sheetFormatPr defaultColWidth="9.140625" defaultRowHeight="12.75"/>
  <cols>
    <col min="1" max="1" width="22.8515625" style="17" customWidth="1"/>
    <col min="2" max="2" width="10.8515625" style="17" customWidth="1"/>
    <col min="3" max="3" width="11.57421875" style="17" customWidth="1"/>
    <col min="4" max="4" width="11.140625" style="17" customWidth="1"/>
    <col min="5" max="5" width="12.7109375" style="17" customWidth="1"/>
    <col min="6" max="7" width="12.28125" style="17" customWidth="1"/>
    <col min="8" max="8" width="12.140625" style="60" customWidth="1"/>
    <col min="9" max="9" width="11.421875" style="60" customWidth="1"/>
    <col min="10" max="10" width="10.8515625" style="60" bestFit="1" customWidth="1"/>
    <col min="11" max="12" width="12.28125" style="72" customWidth="1"/>
    <col min="13" max="13" width="11.7109375" style="17" customWidth="1"/>
    <col min="14" max="14" width="10.57421875" style="17" bestFit="1" customWidth="1"/>
    <col min="15" max="17" width="12.00390625" style="17" customWidth="1"/>
    <col min="18" max="16384" width="9.140625" style="17" customWidth="1"/>
  </cols>
  <sheetData>
    <row r="1" spans="1:17" ht="33" customHeight="1">
      <c r="A1" s="177" t="s">
        <v>96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s="3" customFormat="1" ht="21.75" customHeight="1">
      <c r="A2" s="179" t="s">
        <v>98</v>
      </c>
      <c r="B2" s="178" t="s">
        <v>80</v>
      </c>
      <c r="C2" s="181" t="s">
        <v>81</v>
      </c>
      <c r="D2" s="182"/>
      <c r="E2" s="182"/>
      <c r="F2" s="182"/>
      <c r="G2" s="183"/>
      <c r="H2" s="178" t="s">
        <v>82</v>
      </c>
      <c r="I2" s="178"/>
      <c r="J2" s="178"/>
      <c r="K2" s="178"/>
      <c r="L2" s="178"/>
      <c r="M2" s="178" t="s">
        <v>79</v>
      </c>
      <c r="N2" s="178"/>
      <c r="O2" s="178"/>
      <c r="P2" s="178"/>
      <c r="Q2" s="178"/>
    </row>
    <row r="3" spans="1:17" s="3" customFormat="1" ht="33.75" customHeight="1">
      <c r="A3" s="180"/>
      <c r="B3" s="178"/>
      <c r="C3" s="146" t="s">
        <v>112</v>
      </c>
      <c r="D3" s="146" t="s">
        <v>113</v>
      </c>
      <c r="E3" s="146" t="s">
        <v>115</v>
      </c>
      <c r="F3" s="146" t="s">
        <v>121</v>
      </c>
      <c r="G3" s="146" t="s">
        <v>122</v>
      </c>
      <c r="H3" s="147" t="s">
        <v>112</v>
      </c>
      <c r="I3" s="146" t="s">
        <v>113</v>
      </c>
      <c r="J3" s="146" t="s">
        <v>115</v>
      </c>
      <c r="K3" s="146" t="s">
        <v>121</v>
      </c>
      <c r="L3" s="146" t="s">
        <v>122</v>
      </c>
      <c r="M3" s="146" t="s">
        <v>112</v>
      </c>
      <c r="N3" s="146" t="s">
        <v>113</v>
      </c>
      <c r="O3" s="146" t="s">
        <v>115</v>
      </c>
      <c r="P3" s="146" t="s">
        <v>121</v>
      </c>
      <c r="Q3" s="146" t="s">
        <v>122</v>
      </c>
    </row>
    <row r="4" spans="1:17" s="3" customFormat="1" ht="28.5" customHeight="1">
      <c r="A4" s="119" t="s">
        <v>56</v>
      </c>
      <c r="B4" s="7" t="s">
        <v>2</v>
      </c>
      <c r="C4" s="73">
        <f>'G Nut U'!C63</f>
        <v>3931.1190000000006</v>
      </c>
      <c r="D4" s="73">
        <f>'G Nut U'!D63</f>
        <v>4645.366</v>
      </c>
      <c r="E4" s="73">
        <f>'G Nut U'!E63</f>
        <v>4013.4500000000007</v>
      </c>
      <c r="F4" s="73">
        <f>'G Nut U'!F63</f>
        <v>3837.7700000000004</v>
      </c>
      <c r="G4" s="73">
        <f>'G Nut U'!G63</f>
        <v>4578.4619999999995</v>
      </c>
      <c r="H4" s="73">
        <f>'G Nut U'!H63</f>
        <v>3188.177</v>
      </c>
      <c r="I4" s="73">
        <f>'G Nut U'!I63</f>
        <v>8057.96</v>
      </c>
      <c r="J4" s="73">
        <f>'G Nut U'!J63</f>
        <v>5930.48</v>
      </c>
      <c r="K4" s="73">
        <f>'G Nut U'!K63</f>
        <v>5367.504600000001</v>
      </c>
      <c r="L4" s="73">
        <f>'G Nut U'!L63</f>
        <v>6047.637</v>
      </c>
      <c r="M4" s="6">
        <f aca="true" t="shared" si="0" ref="M4:M25">H4/C4*1000</f>
        <v>811.0100457401569</v>
      </c>
      <c r="N4" s="6">
        <f aca="true" t="shared" si="1" ref="N4:N25">I4/D4*1000</f>
        <v>1734.6232783380256</v>
      </c>
      <c r="O4" s="6">
        <f aca="true" t="shared" si="2" ref="O4:O25">J4/E4*1000</f>
        <v>1477.651397176992</v>
      </c>
      <c r="P4" s="6">
        <f aca="true" t="shared" si="3" ref="P4:Q25">K4/F4*1000</f>
        <v>1398.5998639835113</v>
      </c>
      <c r="Q4" s="6">
        <f t="shared" si="3"/>
        <v>1320.8883245072254</v>
      </c>
    </row>
    <row r="5" spans="1:17" s="3" customFormat="1" ht="28.5" customHeight="1">
      <c r="A5" s="117"/>
      <c r="B5" s="7" t="s">
        <v>21</v>
      </c>
      <c r="C5" s="73">
        <f>'G Nut U'!C64</f>
        <v>789.9110000000001</v>
      </c>
      <c r="D5" s="73">
        <f>'G Nut U'!D64</f>
        <v>859.8399999999999</v>
      </c>
      <c r="E5" s="73">
        <f>'G Nut U'!E64</f>
        <v>755.1999999999999</v>
      </c>
      <c r="F5" s="73">
        <f>'G Nut U'!F64</f>
        <v>758.5260000000001</v>
      </c>
      <c r="G5" s="73">
        <f>'G Nut U'!G64</f>
        <v>759.579</v>
      </c>
      <c r="H5" s="73">
        <f>'G Nut U'!H64</f>
        <v>1507.125</v>
      </c>
      <c r="I5" s="73">
        <f>'G Nut U'!I64</f>
        <v>1655.94</v>
      </c>
      <c r="J5" s="73">
        <f>'G Nut U'!J64</f>
        <v>1471.23</v>
      </c>
      <c r="K5" s="73">
        <f>'G Nut U'!K64</f>
        <v>1365.824</v>
      </c>
      <c r="L5" s="73">
        <f>'G Nut U'!L64</f>
        <v>1413.891</v>
      </c>
      <c r="M5" s="6">
        <f t="shared" si="0"/>
        <v>1907.9681128633476</v>
      </c>
      <c r="N5" s="6">
        <f t="shared" si="1"/>
        <v>1925.8699292891704</v>
      </c>
      <c r="O5" s="6">
        <f t="shared" si="2"/>
        <v>1948.1329449152545</v>
      </c>
      <c r="P5" s="6">
        <f t="shared" si="3"/>
        <v>1800.6291148886128</v>
      </c>
      <c r="Q5" s="6">
        <f t="shared" si="3"/>
        <v>1861.4140201348382</v>
      </c>
    </row>
    <row r="6" spans="1:17" s="25" customFormat="1" ht="28.5" customHeight="1">
      <c r="A6" s="128"/>
      <c r="B6" s="65" t="s">
        <v>4</v>
      </c>
      <c r="C6" s="129">
        <f>'G Nut U'!C65</f>
        <v>4721.030000000001</v>
      </c>
      <c r="D6" s="129">
        <f>'G Nut U'!D65</f>
        <v>5505.206</v>
      </c>
      <c r="E6" s="129">
        <f>'G Nut U'!E65</f>
        <v>4768.650000000001</v>
      </c>
      <c r="F6" s="129">
        <f>'G Nut U'!F65</f>
        <v>4596.296</v>
      </c>
      <c r="G6" s="129">
        <f>'G Nut U'!G65</f>
        <v>5338.040999999999</v>
      </c>
      <c r="H6" s="129">
        <f>'G Nut U'!H65</f>
        <v>4695.302</v>
      </c>
      <c r="I6" s="129">
        <f>'G Nut U'!I65</f>
        <v>9713.9</v>
      </c>
      <c r="J6" s="129">
        <f>'G Nut U'!J65</f>
        <v>7401.709999999999</v>
      </c>
      <c r="K6" s="129">
        <f>'G Nut U'!K65</f>
        <v>6733.328600000001</v>
      </c>
      <c r="L6" s="129">
        <f>'G Nut U'!L65</f>
        <v>7461.528</v>
      </c>
      <c r="M6" s="64">
        <f t="shared" si="0"/>
        <v>994.5503417686392</v>
      </c>
      <c r="N6" s="64">
        <f t="shared" si="1"/>
        <v>1764.493463096567</v>
      </c>
      <c r="O6" s="64">
        <f t="shared" si="2"/>
        <v>1552.1604647017496</v>
      </c>
      <c r="P6" s="64">
        <f t="shared" si="3"/>
        <v>1464.946687506636</v>
      </c>
      <c r="Q6" s="64">
        <f t="shared" si="3"/>
        <v>1397.802677049502</v>
      </c>
    </row>
    <row r="7" spans="1:17" s="3" customFormat="1" ht="28.5" customHeight="1">
      <c r="A7" s="118" t="s">
        <v>57</v>
      </c>
      <c r="B7" s="7" t="s">
        <v>2</v>
      </c>
      <c r="C7" s="73">
        <f>'Castor U'!B23</f>
        <v>1233.5870000000002</v>
      </c>
      <c r="D7" s="73">
        <f>'Castor U'!C23</f>
        <v>1063.197</v>
      </c>
      <c r="E7" s="73">
        <f>'Castor U'!D23</f>
        <v>1089.32</v>
      </c>
      <c r="F7" s="73">
        <f>'Castor U'!E23</f>
        <v>1060.729</v>
      </c>
      <c r="G7" s="73">
        <f>'Castor U'!F23</f>
        <v>807.917</v>
      </c>
      <c r="H7" s="73">
        <f>'Castor U'!G23</f>
        <v>1963.4729999999997</v>
      </c>
      <c r="I7" s="73">
        <f>'Castor U'!H23</f>
        <v>1726.5589999999997</v>
      </c>
      <c r="J7" s="73">
        <f>'Castor U'!I23</f>
        <v>1869.99</v>
      </c>
      <c r="K7" s="73">
        <f>'Castor U'!J23</f>
        <v>1751.8179999999998</v>
      </c>
      <c r="L7" s="73">
        <f>'Castor U'!K23</f>
        <v>1376.4209999999998</v>
      </c>
      <c r="M7" s="6">
        <f t="shared" si="0"/>
        <v>1591.677765735209</v>
      </c>
      <c r="N7" s="6">
        <f t="shared" si="1"/>
        <v>1623.93140687944</v>
      </c>
      <c r="O7" s="6">
        <f t="shared" si="2"/>
        <v>1716.6580986303384</v>
      </c>
      <c r="P7" s="6">
        <f t="shared" si="3"/>
        <v>1651.5226792140118</v>
      </c>
      <c r="Q7" s="6">
        <f t="shared" si="3"/>
        <v>1703.6663419633448</v>
      </c>
    </row>
    <row r="8" spans="1:17" s="3" customFormat="1" ht="28.5" customHeight="1">
      <c r="A8" s="118" t="s">
        <v>58</v>
      </c>
      <c r="B8" s="7" t="s">
        <v>2</v>
      </c>
      <c r="C8" s="73">
        <f>'Niger U'!B19</f>
        <v>310.41200000000003</v>
      </c>
      <c r="D8" s="73">
        <f>'Niger U'!C19</f>
        <v>298.74</v>
      </c>
      <c r="E8" s="73">
        <f>'Niger U'!D19</f>
        <v>232.13</v>
      </c>
      <c r="F8" s="73">
        <f>'Niger U'!E19</f>
        <v>251.66699999999997</v>
      </c>
      <c r="G8" s="73">
        <f>'Niger U'!F19</f>
        <v>256.41299999999995</v>
      </c>
      <c r="H8" s="73">
        <f>'Niger U'!G19</f>
        <v>100.83</v>
      </c>
      <c r="I8" s="73">
        <f>'Niger U'!H19</f>
        <v>97.838</v>
      </c>
      <c r="J8" s="73">
        <f>'Niger U'!I19</f>
        <v>76.17</v>
      </c>
      <c r="K8" s="73">
        <f>'Niger U'!J19</f>
        <v>74.273</v>
      </c>
      <c r="L8" s="73">
        <f>'Niger U'!K19</f>
        <v>85.142</v>
      </c>
      <c r="M8" s="6">
        <f t="shared" si="0"/>
        <v>324.8263598056776</v>
      </c>
      <c r="N8" s="6">
        <f t="shared" si="1"/>
        <v>327.50217580504784</v>
      </c>
      <c r="O8" s="6">
        <f t="shared" si="2"/>
        <v>328.13509671304877</v>
      </c>
      <c r="P8" s="6">
        <f t="shared" si="3"/>
        <v>295.12411241839413</v>
      </c>
      <c r="Q8" s="6">
        <f t="shared" si="3"/>
        <v>332.05024706235645</v>
      </c>
    </row>
    <row r="9" spans="1:17" s="3" customFormat="1" ht="28.5" customHeight="1">
      <c r="A9" s="118" t="s">
        <v>59</v>
      </c>
      <c r="B9" s="7" t="s">
        <v>2</v>
      </c>
      <c r="C9" s="73">
        <f>'Sesamum U'!B34</f>
        <v>1705.7570000000003</v>
      </c>
      <c r="D9" s="73">
        <f>'Sesamum U'!C34</f>
        <v>1678.903</v>
      </c>
      <c r="E9" s="73">
        <f>'Sesamum U'!D34</f>
        <v>1746.0620000000004</v>
      </c>
      <c r="F9" s="73">
        <f>'Sesamum U'!E34</f>
        <v>1950.88</v>
      </c>
      <c r="G9" s="73">
        <f>'Sesamum U'!F34</f>
        <v>1666.926</v>
      </c>
      <c r="H9" s="73">
        <f>'Sesamum U'!G34</f>
        <v>685.0239999999999</v>
      </c>
      <c r="I9" s="73">
        <f>'Sesamum U'!H34</f>
        <v>714.5824999999999</v>
      </c>
      <c r="J9" s="73">
        <f>'Sesamum U'!I34</f>
        <v>827.8299999999999</v>
      </c>
      <c r="K9" s="73">
        <f>'Sesamum U'!J34</f>
        <v>850.0652000000001</v>
      </c>
      <c r="L9" s="73">
        <f>'Sesamum U'!K34</f>
        <v>747.0303499999999</v>
      </c>
      <c r="M9" s="6">
        <f t="shared" si="0"/>
        <v>401.59530343419357</v>
      </c>
      <c r="N9" s="6">
        <f t="shared" si="1"/>
        <v>425.62464895232176</v>
      </c>
      <c r="O9" s="6">
        <f t="shared" si="2"/>
        <v>474.1126031034406</v>
      </c>
      <c r="P9" s="6">
        <f t="shared" si="3"/>
        <v>435.73423275649964</v>
      </c>
      <c r="Q9" s="6">
        <f t="shared" si="3"/>
        <v>448.1484780968081</v>
      </c>
    </row>
    <row r="10" spans="1:17" s="3" customFormat="1" ht="28.5" customHeight="1">
      <c r="A10" s="118" t="s">
        <v>60</v>
      </c>
      <c r="B10" s="7" t="s">
        <v>21</v>
      </c>
      <c r="C10" s="73">
        <f>'R &amp; M U'!B35</f>
        <v>6362.593</v>
      </c>
      <c r="D10" s="73">
        <f>'R &amp; M U'!C35</f>
        <v>6645.744000000001</v>
      </c>
      <c r="E10" s="73">
        <f>'R &amp; M U'!D35</f>
        <v>5799.080000000001</v>
      </c>
      <c r="F10" s="73">
        <f>'R &amp; M U'!E35</f>
        <v>5745.5163</v>
      </c>
      <c r="G10" s="73">
        <f>'R &amp; M U'!F35</f>
        <v>6073.8234999999995</v>
      </c>
      <c r="H10" s="73">
        <f>'R &amp; M U'!G35</f>
        <v>8028.9335</v>
      </c>
      <c r="I10" s="73">
        <f>'R &amp; M U'!H35</f>
        <v>7876.65125</v>
      </c>
      <c r="J10" s="73">
        <f>'R &amp; M U'!I35</f>
        <v>6282.439999999999</v>
      </c>
      <c r="K10" s="73">
        <f>'R &amp; M U'!J35</f>
        <v>6796.71525</v>
      </c>
      <c r="L10" s="73">
        <f>'R &amp; M U'!K35</f>
        <v>7917.2348600000005</v>
      </c>
      <c r="M10" s="6">
        <f t="shared" si="0"/>
        <v>1261.8964469360212</v>
      </c>
      <c r="N10" s="6">
        <f t="shared" si="1"/>
        <v>1185.2173737056378</v>
      </c>
      <c r="O10" s="6">
        <f t="shared" si="2"/>
        <v>1083.351152251736</v>
      </c>
      <c r="P10" s="6">
        <f t="shared" si="3"/>
        <v>1182.9598760341173</v>
      </c>
      <c r="Q10" s="6">
        <f t="shared" si="3"/>
        <v>1303.500975950322</v>
      </c>
    </row>
    <row r="11" spans="1:17" s="3" customFormat="1" ht="28.5" customHeight="1">
      <c r="A11" s="118" t="s">
        <v>61</v>
      </c>
      <c r="B11" s="7" t="s">
        <v>21</v>
      </c>
      <c r="C11" s="73">
        <f>'Linseed U'!B25</f>
        <v>296.265</v>
      </c>
      <c r="D11" s="73">
        <f>'Linseed U'!C25</f>
        <v>293.067</v>
      </c>
      <c r="E11" s="73">
        <f>'Linseed U'!D25</f>
        <v>285.47</v>
      </c>
      <c r="F11" s="73">
        <f>'Linseed U'!E25</f>
        <v>262.859</v>
      </c>
      <c r="G11" s="73">
        <f>'Linseed U'!F25</f>
        <v>325.216</v>
      </c>
      <c r="H11" s="73">
        <f>'Linseed U'!G25</f>
        <v>148.587</v>
      </c>
      <c r="I11" s="73">
        <f>'Linseed U'!H25</f>
        <v>141.73</v>
      </c>
      <c r="J11" s="73">
        <f>'Linseed U'!I25</f>
        <v>154.57</v>
      </c>
      <c r="K11" s="73">
        <f>'Linseed U'!J25</f>
        <v>125.494392</v>
      </c>
      <c r="L11" s="73">
        <f>'Linseed U'!K25</f>
        <v>184.25</v>
      </c>
      <c r="M11" s="6">
        <f t="shared" si="0"/>
        <v>501.5340995392639</v>
      </c>
      <c r="N11" s="6">
        <f t="shared" si="1"/>
        <v>483.6095500346337</v>
      </c>
      <c r="O11" s="6">
        <f t="shared" si="2"/>
        <v>541.4579465442953</v>
      </c>
      <c r="P11" s="6">
        <f t="shared" si="3"/>
        <v>477.4209443085457</v>
      </c>
      <c r="Q11" s="6">
        <f t="shared" si="3"/>
        <v>566.546541375578</v>
      </c>
    </row>
    <row r="12" spans="1:17" s="3" customFormat="1" ht="28.5" customHeight="1">
      <c r="A12" s="118" t="s">
        <v>62</v>
      </c>
      <c r="B12" s="7" t="s">
        <v>21</v>
      </c>
      <c r="C12" s="73">
        <f>'Safflower U'!B17</f>
        <v>183.509</v>
      </c>
      <c r="D12" s="73">
        <f>'Safflower U'!C17</f>
        <v>177.733</v>
      </c>
      <c r="E12" s="73">
        <f>'Safflower U'!D17</f>
        <v>174.94</v>
      </c>
      <c r="F12" s="73">
        <f>'Safflower U'!E17</f>
        <v>127.496</v>
      </c>
      <c r="G12" s="73">
        <f>'Safflower U'!F17</f>
        <v>144.27399999999997</v>
      </c>
      <c r="H12" s="73">
        <f>'Safflower U'!G17</f>
        <v>108.50999999999999</v>
      </c>
      <c r="I12" s="73">
        <f>'Safflower U'!H17</f>
        <v>113.36600000000001</v>
      </c>
      <c r="J12" s="73">
        <f>'Safflower U'!I17</f>
        <v>90.12</v>
      </c>
      <c r="K12" s="73">
        <f>'Safflower U'!J17</f>
        <v>52.99</v>
      </c>
      <c r="L12" s="73">
        <f>'Safflower U'!K17</f>
        <v>93.89599999999999</v>
      </c>
      <c r="M12" s="6">
        <f t="shared" si="0"/>
        <v>591.3061484722821</v>
      </c>
      <c r="N12" s="6">
        <f t="shared" si="1"/>
        <v>637.8444070600283</v>
      </c>
      <c r="O12" s="6">
        <f t="shared" si="2"/>
        <v>515.1480507602607</v>
      </c>
      <c r="P12" s="6">
        <f t="shared" si="3"/>
        <v>415.6208822237561</v>
      </c>
      <c r="Q12" s="6">
        <f t="shared" si="3"/>
        <v>650.8171950594009</v>
      </c>
    </row>
    <row r="13" spans="1:17" s="3" customFormat="1" ht="28.5" customHeight="1">
      <c r="A13" s="119" t="s">
        <v>63</v>
      </c>
      <c r="B13" s="7" t="s">
        <v>2</v>
      </c>
      <c r="C13" s="73">
        <f>'Sunflower U'!C45</f>
        <v>301.06</v>
      </c>
      <c r="D13" s="73">
        <f>'Sunflower U'!D45</f>
        <v>253.08999999999997</v>
      </c>
      <c r="E13" s="73">
        <f>'Sunflower U'!E45</f>
        <v>216.79</v>
      </c>
      <c r="F13" s="73">
        <f>'Sunflower U'!F45</f>
        <v>166.33</v>
      </c>
      <c r="G13" s="73">
        <f>'Sunflower U'!G45</f>
        <v>182.284</v>
      </c>
      <c r="H13" s="73">
        <f>'Sunflower U'!H45</f>
        <v>187.17000000000002</v>
      </c>
      <c r="I13" s="73">
        <f>'Sunflower U'!I45</f>
        <v>166.05</v>
      </c>
      <c r="J13" s="73">
        <f>'Sunflower U'!J45</f>
        <v>143.01000000000002</v>
      </c>
      <c r="K13" s="73">
        <f>'Sunflower U'!K45</f>
        <v>84.74640000000001</v>
      </c>
      <c r="L13" s="73">
        <f>'Sunflower U'!L45</f>
        <v>110.70400000000001</v>
      </c>
      <c r="M13" s="6">
        <f t="shared" si="0"/>
        <v>621.7033149538298</v>
      </c>
      <c r="N13" s="6">
        <f t="shared" si="1"/>
        <v>656.0907187166621</v>
      </c>
      <c r="O13" s="6">
        <f t="shared" si="2"/>
        <v>659.6706490151761</v>
      </c>
      <c r="P13" s="6">
        <f t="shared" si="3"/>
        <v>509.5076053628329</v>
      </c>
      <c r="Q13" s="6">
        <f t="shared" si="3"/>
        <v>607.3160562638521</v>
      </c>
    </row>
    <row r="14" spans="1:17" s="3" customFormat="1" ht="28.5" customHeight="1">
      <c r="A14" s="117"/>
      <c r="B14" s="7" t="s">
        <v>21</v>
      </c>
      <c r="C14" s="73">
        <f>'Sunflower U'!C46</f>
        <v>529.453</v>
      </c>
      <c r="D14" s="73">
        <f>'Sunflower U'!D46</f>
        <v>418.41</v>
      </c>
      <c r="E14" s="73">
        <f>'Sunflower U'!E46</f>
        <v>372.97</v>
      </c>
      <c r="F14" s="73">
        <f>'Sunflower U'!F46</f>
        <v>320.461</v>
      </c>
      <c r="G14" s="73">
        <f>'Sunflower U'!G46</f>
        <v>198.826</v>
      </c>
      <c r="H14" s="73">
        <f>'Sunflower U'!H46</f>
        <v>356.914</v>
      </c>
      <c r="I14" s="73">
        <f>'Sunflower U'!I46</f>
        <v>337.89</v>
      </c>
      <c r="J14" s="73">
        <f>'Sunflower U'!J46</f>
        <v>291.19</v>
      </c>
      <c r="K14" s="73">
        <f>'Sunflower U'!K46</f>
        <v>211.55025</v>
      </c>
      <c r="L14" s="73">
        <f>'Sunflower U'!L46</f>
        <v>140.68</v>
      </c>
      <c r="M14" s="6">
        <f t="shared" si="0"/>
        <v>674.118382557092</v>
      </c>
      <c r="N14" s="6">
        <f t="shared" si="1"/>
        <v>807.557180755718</v>
      </c>
      <c r="O14" s="6">
        <f t="shared" si="2"/>
        <v>780.7330348285384</v>
      </c>
      <c r="P14" s="6">
        <f t="shared" si="3"/>
        <v>660.1435120030206</v>
      </c>
      <c r="Q14" s="6">
        <f t="shared" si="3"/>
        <v>707.5533380946154</v>
      </c>
    </row>
    <row r="15" spans="1:17" s="25" customFormat="1" ht="28.5" customHeight="1">
      <c r="A15" s="128"/>
      <c r="B15" s="65" t="s">
        <v>4</v>
      </c>
      <c r="C15" s="129">
        <f>'Sunflower U'!C47</f>
        <v>830.5129999999999</v>
      </c>
      <c r="D15" s="129">
        <f>'Sunflower U'!D47</f>
        <v>671.5</v>
      </c>
      <c r="E15" s="129">
        <f>'Sunflower U'!E47</f>
        <v>589.76</v>
      </c>
      <c r="F15" s="129">
        <f>'Sunflower U'!F47</f>
        <v>486.79100000000005</v>
      </c>
      <c r="G15" s="129">
        <f>'Sunflower U'!G47</f>
        <v>381.11</v>
      </c>
      <c r="H15" s="129">
        <f>'Sunflower U'!H47</f>
        <v>544.0840000000001</v>
      </c>
      <c r="I15" s="129">
        <f>'Sunflower U'!I47</f>
        <v>503.94</v>
      </c>
      <c r="J15" s="129">
        <f>'Sunflower U'!J47</f>
        <v>434.20000000000005</v>
      </c>
      <c r="K15" s="129">
        <f>'Sunflower U'!K47</f>
        <v>296.29665</v>
      </c>
      <c r="L15" s="129">
        <f>'Sunflower U'!L47</f>
        <v>251.38400000000001</v>
      </c>
      <c r="M15" s="64">
        <f t="shared" si="0"/>
        <v>655.117981295898</v>
      </c>
      <c r="N15" s="64">
        <f t="shared" si="1"/>
        <v>750.4690990320179</v>
      </c>
      <c r="O15" s="64">
        <f t="shared" si="2"/>
        <v>736.231687466088</v>
      </c>
      <c r="P15" s="64">
        <f t="shared" si="3"/>
        <v>608.6732293735914</v>
      </c>
      <c r="Q15" s="64">
        <f t="shared" si="3"/>
        <v>659.6100863267823</v>
      </c>
    </row>
    <row r="16" spans="1:17" s="3" customFormat="1" ht="28.5" customHeight="1">
      <c r="A16" s="118" t="s">
        <v>64</v>
      </c>
      <c r="B16" s="7" t="s">
        <v>2</v>
      </c>
      <c r="C16" s="73">
        <f>'Soyabean U'!B26</f>
        <v>10840.733000000002</v>
      </c>
      <c r="D16" s="73">
        <f>'Soyabean U'!C26</f>
        <v>11716.408000000001</v>
      </c>
      <c r="E16" s="73">
        <f>'Soyabean U'!D26</f>
        <v>10910.83</v>
      </c>
      <c r="F16" s="73">
        <f>'Soyabean U'!E26</f>
        <v>11604.541000000005</v>
      </c>
      <c r="G16" s="73">
        <f>'Soyabean U'!F26</f>
        <v>11183.401000000002</v>
      </c>
      <c r="H16" s="73">
        <f>'Soyabean U'!G26</f>
        <v>14666.448000000002</v>
      </c>
      <c r="I16" s="73">
        <f>'Soyabean U'!H26</f>
        <v>11860.818020454546</v>
      </c>
      <c r="J16" s="73">
        <f>'Soyabean U'!I26</f>
        <v>10373.8</v>
      </c>
      <c r="K16" s="73">
        <f>'Soyabean U'!J26</f>
        <v>8569.794617000001</v>
      </c>
      <c r="L16" s="73">
        <f>'Soyabean U'!K26</f>
        <v>13158.729999999996</v>
      </c>
      <c r="M16" s="6">
        <f t="shared" si="0"/>
        <v>1352.9018748086498</v>
      </c>
      <c r="N16" s="6">
        <f t="shared" si="1"/>
        <v>1012.3254516618528</v>
      </c>
      <c r="O16" s="6">
        <f t="shared" si="2"/>
        <v>950.7800964729539</v>
      </c>
      <c r="P16" s="6">
        <f t="shared" si="3"/>
        <v>738.4863060934507</v>
      </c>
      <c r="Q16" s="6">
        <f t="shared" si="3"/>
        <v>1176.6304364834984</v>
      </c>
    </row>
    <row r="17" spans="1:17" s="114" customFormat="1" ht="28.5" customHeight="1">
      <c r="A17" s="119" t="s">
        <v>65</v>
      </c>
      <c r="B17" s="7" t="s">
        <v>2</v>
      </c>
      <c r="C17" s="74">
        <f>C23-C7</f>
        <v>17089.081000000006</v>
      </c>
      <c r="D17" s="74">
        <f>D23-D7</f>
        <v>18592.507</v>
      </c>
      <c r="E17" s="74">
        <f aca="true" t="shared" si="4" ref="E17:L17">E23-E7</f>
        <v>17119.262000000002</v>
      </c>
      <c r="F17" s="74">
        <f t="shared" si="4"/>
        <v>17811.188000000006</v>
      </c>
      <c r="G17" s="74">
        <f t="shared" si="4"/>
        <v>17867.485999999997</v>
      </c>
      <c r="H17" s="74">
        <f t="shared" si="4"/>
        <v>18827.649000000005</v>
      </c>
      <c r="I17" s="74">
        <f t="shared" si="4"/>
        <v>20897.248520454545</v>
      </c>
      <c r="J17" s="74">
        <f t="shared" si="4"/>
        <v>17351.289999999997</v>
      </c>
      <c r="K17" s="74">
        <f t="shared" si="4"/>
        <v>14946.383817000002</v>
      </c>
      <c r="L17" s="74">
        <f t="shared" si="4"/>
        <v>20149.243349999993</v>
      </c>
      <c r="M17" s="6">
        <f t="shared" si="0"/>
        <v>1101.7356053259973</v>
      </c>
      <c r="N17" s="6">
        <f t="shared" si="1"/>
        <v>1123.9607719633798</v>
      </c>
      <c r="O17" s="6">
        <f t="shared" si="2"/>
        <v>1013.5536216456056</v>
      </c>
      <c r="P17" s="6">
        <f t="shared" si="3"/>
        <v>839.1570409003598</v>
      </c>
      <c r="Q17" s="6">
        <f t="shared" si="3"/>
        <v>1127.70444314326</v>
      </c>
    </row>
    <row r="18" spans="1:17" s="114" customFormat="1" ht="28.5" customHeight="1">
      <c r="A18" s="117"/>
      <c r="B18" s="7" t="s">
        <v>21</v>
      </c>
      <c r="C18" s="74">
        <f>C24-C11</f>
        <v>7865.465999999999</v>
      </c>
      <c r="D18" s="74">
        <f aca="true" t="shared" si="5" ref="D18:L18">D24-D11</f>
        <v>8101.727000000002</v>
      </c>
      <c r="E18" s="74">
        <f t="shared" si="5"/>
        <v>7102.1900000000005</v>
      </c>
      <c r="F18" s="74">
        <f t="shared" si="5"/>
        <v>6951.9993</v>
      </c>
      <c r="G18" s="74">
        <f t="shared" si="5"/>
        <v>7176.5025</v>
      </c>
      <c r="H18" s="74">
        <f t="shared" si="5"/>
        <v>10001.4825</v>
      </c>
      <c r="I18" s="74">
        <f t="shared" si="5"/>
        <v>9983.847249999999</v>
      </c>
      <c r="J18" s="74">
        <f t="shared" si="5"/>
        <v>8134.979999999998</v>
      </c>
      <c r="K18" s="74">
        <f t="shared" si="5"/>
        <v>8427.0795</v>
      </c>
      <c r="L18" s="74">
        <f t="shared" si="5"/>
        <v>9565.701860000001</v>
      </c>
      <c r="M18" s="6">
        <f t="shared" si="0"/>
        <v>1271.5689699758411</v>
      </c>
      <c r="N18" s="6">
        <f t="shared" si="1"/>
        <v>1232.3109936930728</v>
      </c>
      <c r="O18" s="6">
        <f t="shared" si="2"/>
        <v>1145.4185258349885</v>
      </c>
      <c r="P18" s="6">
        <f t="shared" si="3"/>
        <v>1212.1807175671033</v>
      </c>
      <c r="Q18" s="6">
        <f t="shared" si="3"/>
        <v>1332.9197418937708</v>
      </c>
    </row>
    <row r="19" spans="1:17" s="130" customFormat="1" ht="28.5" customHeight="1">
      <c r="A19" s="128"/>
      <c r="B19" s="65" t="s">
        <v>4</v>
      </c>
      <c r="C19" s="75">
        <f>C17+C18</f>
        <v>24954.547000000006</v>
      </c>
      <c r="D19" s="75">
        <f aca="true" t="shared" si="6" ref="D19:L19">D17+D18</f>
        <v>26694.234000000004</v>
      </c>
      <c r="E19" s="75">
        <f t="shared" si="6"/>
        <v>24221.452000000005</v>
      </c>
      <c r="F19" s="75">
        <f t="shared" si="6"/>
        <v>24763.187300000005</v>
      </c>
      <c r="G19" s="75">
        <f t="shared" si="6"/>
        <v>25043.988499999996</v>
      </c>
      <c r="H19" s="75">
        <f t="shared" si="6"/>
        <v>28829.131500000003</v>
      </c>
      <c r="I19" s="75">
        <f t="shared" si="6"/>
        <v>30881.095770454544</v>
      </c>
      <c r="J19" s="75">
        <f t="shared" si="6"/>
        <v>25486.269999999997</v>
      </c>
      <c r="K19" s="75">
        <f t="shared" si="6"/>
        <v>23373.463317</v>
      </c>
      <c r="L19" s="75">
        <f t="shared" si="6"/>
        <v>29714.945209999994</v>
      </c>
      <c r="M19" s="64">
        <f t="shared" si="0"/>
        <v>1155.2656716228907</v>
      </c>
      <c r="N19" s="64">
        <f t="shared" si="1"/>
        <v>1156.8451737725286</v>
      </c>
      <c r="O19" s="64">
        <f t="shared" si="2"/>
        <v>1052.2189173464906</v>
      </c>
      <c r="P19" s="64">
        <f t="shared" si="3"/>
        <v>943.8794382094746</v>
      </c>
      <c r="Q19" s="64">
        <f t="shared" si="3"/>
        <v>1186.5100964249364</v>
      </c>
    </row>
    <row r="20" spans="1:17" s="114" customFormat="1" ht="28.5" customHeight="1">
      <c r="A20" s="119" t="s">
        <v>66</v>
      </c>
      <c r="B20" s="7" t="s">
        <v>2</v>
      </c>
      <c r="C20" s="74">
        <f>C7</f>
        <v>1233.5870000000002</v>
      </c>
      <c r="D20" s="74">
        <f aca="true" t="shared" si="7" ref="D20:L20">D7</f>
        <v>1063.197</v>
      </c>
      <c r="E20" s="74">
        <f t="shared" si="7"/>
        <v>1089.32</v>
      </c>
      <c r="F20" s="74">
        <f t="shared" si="7"/>
        <v>1060.729</v>
      </c>
      <c r="G20" s="74">
        <f t="shared" si="7"/>
        <v>807.917</v>
      </c>
      <c r="H20" s="74">
        <f t="shared" si="7"/>
        <v>1963.4729999999997</v>
      </c>
      <c r="I20" s="74">
        <f t="shared" si="7"/>
        <v>1726.5589999999997</v>
      </c>
      <c r="J20" s="74">
        <f t="shared" si="7"/>
        <v>1869.99</v>
      </c>
      <c r="K20" s="74">
        <f t="shared" si="7"/>
        <v>1751.8179999999998</v>
      </c>
      <c r="L20" s="74">
        <f t="shared" si="7"/>
        <v>1376.4209999999998</v>
      </c>
      <c r="M20" s="6">
        <f t="shared" si="0"/>
        <v>1591.677765735209</v>
      </c>
      <c r="N20" s="6">
        <f t="shared" si="1"/>
        <v>1623.93140687944</v>
      </c>
      <c r="O20" s="6">
        <f t="shared" si="2"/>
        <v>1716.6580986303384</v>
      </c>
      <c r="P20" s="6">
        <f t="shared" si="3"/>
        <v>1651.5226792140118</v>
      </c>
      <c r="Q20" s="6">
        <f t="shared" si="3"/>
        <v>1703.6663419633448</v>
      </c>
    </row>
    <row r="21" spans="1:17" s="114" customFormat="1" ht="28.5" customHeight="1">
      <c r="A21" s="117"/>
      <c r="B21" s="7" t="s">
        <v>21</v>
      </c>
      <c r="C21" s="74">
        <f>C11</f>
        <v>296.265</v>
      </c>
      <c r="D21" s="74">
        <f aca="true" t="shared" si="8" ref="D21:K21">D11</f>
        <v>293.067</v>
      </c>
      <c r="E21" s="74">
        <f t="shared" si="8"/>
        <v>285.47</v>
      </c>
      <c r="F21" s="74">
        <f t="shared" si="8"/>
        <v>262.859</v>
      </c>
      <c r="G21" s="74">
        <f t="shared" si="8"/>
        <v>325.216</v>
      </c>
      <c r="H21" s="74">
        <f t="shared" si="8"/>
        <v>148.587</v>
      </c>
      <c r="I21" s="74">
        <f t="shared" si="8"/>
        <v>141.73</v>
      </c>
      <c r="J21" s="74">
        <f t="shared" si="8"/>
        <v>154.57</v>
      </c>
      <c r="K21" s="74">
        <f t="shared" si="8"/>
        <v>125.494392</v>
      </c>
      <c r="L21" s="74">
        <f>SUM(L11)</f>
        <v>184.25</v>
      </c>
      <c r="M21" s="6">
        <f t="shared" si="0"/>
        <v>501.5340995392639</v>
      </c>
      <c r="N21" s="6">
        <f t="shared" si="1"/>
        <v>483.6095500346337</v>
      </c>
      <c r="O21" s="6">
        <f t="shared" si="2"/>
        <v>541.4579465442953</v>
      </c>
      <c r="P21" s="6">
        <f t="shared" si="3"/>
        <v>477.4209443085457</v>
      </c>
      <c r="Q21" s="6">
        <f t="shared" si="3"/>
        <v>566.546541375578</v>
      </c>
    </row>
    <row r="22" spans="1:17" s="130" customFormat="1" ht="28.5" customHeight="1">
      <c r="A22" s="131"/>
      <c r="B22" s="132" t="s">
        <v>4</v>
      </c>
      <c r="C22" s="75">
        <f>C20+C21</f>
        <v>1529.8520000000003</v>
      </c>
      <c r="D22" s="75">
        <f>D20+D21</f>
        <v>1356.264</v>
      </c>
      <c r="E22" s="75">
        <f aca="true" t="shared" si="9" ref="E22:L22">E20+E21</f>
        <v>1374.79</v>
      </c>
      <c r="F22" s="75">
        <f t="shared" si="9"/>
        <v>1323.588</v>
      </c>
      <c r="G22" s="75">
        <f t="shared" si="9"/>
        <v>1133.133</v>
      </c>
      <c r="H22" s="75">
        <f t="shared" si="9"/>
        <v>2112.0599999999995</v>
      </c>
      <c r="I22" s="75">
        <f t="shared" si="9"/>
        <v>1868.2889999999998</v>
      </c>
      <c r="J22" s="75">
        <f t="shared" si="9"/>
        <v>2024.56</v>
      </c>
      <c r="K22" s="75">
        <f t="shared" si="9"/>
        <v>1877.3123919999998</v>
      </c>
      <c r="L22" s="75">
        <f t="shared" si="9"/>
        <v>1560.6709999999998</v>
      </c>
      <c r="M22" s="64">
        <f t="shared" si="0"/>
        <v>1380.5649173907013</v>
      </c>
      <c r="N22" s="64">
        <f t="shared" si="1"/>
        <v>1377.526056873883</v>
      </c>
      <c r="O22" s="64">
        <f t="shared" si="2"/>
        <v>1472.6321838244387</v>
      </c>
      <c r="P22" s="64">
        <f t="shared" si="3"/>
        <v>1418.3510216169987</v>
      </c>
      <c r="Q22" s="64">
        <f t="shared" si="3"/>
        <v>1377.3061061675899</v>
      </c>
    </row>
    <row r="23" spans="1:17" s="3" customFormat="1" ht="28.5" customHeight="1">
      <c r="A23" s="120" t="s">
        <v>67</v>
      </c>
      <c r="B23" s="29" t="s">
        <v>2</v>
      </c>
      <c r="C23" s="73">
        <f>'Kh Oil U'!B36</f>
        <v>18322.668000000005</v>
      </c>
      <c r="D23" s="73">
        <f>'Kh Oil U'!C36</f>
        <v>19655.704</v>
      </c>
      <c r="E23" s="73">
        <f>'Kh Oil U'!D36</f>
        <v>18208.582000000002</v>
      </c>
      <c r="F23" s="73">
        <f>'Kh Oil U'!E36</f>
        <v>18871.917000000005</v>
      </c>
      <c r="G23" s="73">
        <f>'Kh Oil U'!F36</f>
        <v>18675.403</v>
      </c>
      <c r="H23" s="73">
        <f>'Kh Oil U'!G36</f>
        <v>20791.122000000003</v>
      </c>
      <c r="I23" s="73">
        <f>'Kh Oil U'!H36</f>
        <v>22623.807520454546</v>
      </c>
      <c r="J23" s="73">
        <f>'Kh Oil U'!I36</f>
        <v>19221.28</v>
      </c>
      <c r="K23" s="73">
        <f>'Kh Oil U'!J36</f>
        <v>16698.201817</v>
      </c>
      <c r="L23" s="73">
        <f>'Kh Oil U'!K36</f>
        <v>21525.664349999992</v>
      </c>
      <c r="M23" s="6">
        <f t="shared" si="0"/>
        <v>1134.7213189694862</v>
      </c>
      <c r="N23" s="6">
        <f t="shared" si="1"/>
        <v>1151.0046915874673</v>
      </c>
      <c r="O23" s="6">
        <f t="shared" si="2"/>
        <v>1055.6165219235631</v>
      </c>
      <c r="P23" s="6">
        <f t="shared" si="3"/>
        <v>884.8174680399451</v>
      </c>
      <c r="Q23" s="6">
        <f t="shared" si="3"/>
        <v>1152.621142901173</v>
      </c>
    </row>
    <row r="24" spans="1:17" s="3" customFormat="1" ht="28.5" customHeight="1">
      <c r="A24" s="121"/>
      <c r="B24" s="29" t="s">
        <v>21</v>
      </c>
      <c r="C24" s="74">
        <f>'Rb Oil  U'!B37</f>
        <v>8161.731</v>
      </c>
      <c r="D24" s="74">
        <f>'Rb Oil  U'!C37</f>
        <v>8394.794000000002</v>
      </c>
      <c r="E24" s="74">
        <f>'Rb Oil  U'!D37</f>
        <v>7387.660000000001</v>
      </c>
      <c r="F24" s="74">
        <f>'Rb Oil  U'!E37</f>
        <v>7214.858300000001</v>
      </c>
      <c r="G24" s="74">
        <f>'Rb Oil  U'!F37</f>
        <v>7501.7185</v>
      </c>
      <c r="H24" s="74">
        <f>'Rb Oil  U'!G37</f>
        <v>10150.0695</v>
      </c>
      <c r="I24" s="74">
        <f>'Rb Oil  U'!H37</f>
        <v>10125.577249999998</v>
      </c>
      <c r="J24" s="74">
        <f>'Rb Oil  U'!I37</f>
        <v>8289.549999999997</v>
      </c>
      <c r="K24" s="74">
        <f>'Rb Oil  U'!J37</f>
        <v>8552.573892</v>
      </c>
      <c r="L24" s="74">
        <f>'Rb Oil  U'!K37</f>
        <v>9749.951860000001</v>
      </c>
      <c r="M24" s="6">
        <f t="shared" si="0"/>
        <v>1243.617254722068</v>
      </c>
      <c r="N24" s="6">
        <f t="shared" si="1"/>
        <v>1206.173403421215</v>
      </c>
      <c r="O24" s="6">
        <f t="shared" si="2"/>
        <v>1122.0806046840266</v>
      </c>
      <c r="P24" s="6">
        <f t="shared" si="3"/>
        <v>1185.4112078680741</v>
      </c>
      <c r="Q24" s="6">
        <f t="shared" si="3"/>
        <v>1299.695777707468</v>
      </c>
    </row>
    <row r="25" spans="1:17" s="25" customFormat="1" ht="28.5" customHeight="1">
      <c r="A25" s="122"/>
      <c r="B25" s="62" t="s">
        <v>4</v>
      </c>
      <c r="C25" s="75">
        <f>'Tot Oil U'!B37</f>
        <v>26484.399000000005</v>
      </c>
      <c r="D25" s="75">
        <f>'Tot Oil U'!C37</f>
        <v>28050.498000000003</v>
      </c>
      <c r="E25" s="75">
        <f>'Tot Oil U'!D37</f>
        <v>25596.242000000002</v>
      </c>
      <c r="F25" s="75">
        <f>'Tot Oil U'!E37</f>
        <v>26086.775300000005</v>
      </c>
      <c r="G25" s="75">
        <f>'Tot Oil U'!F37</f>
        <v>26177.121499999997</v>
      </c>
      <c r="H25" s="75">
        <f>'Tot Oil U'!G37</f>
        <v>30941.1915</v>
      </c>
      <c r="I25" s="75">
        <f>'Tot Oil U'!H37</f>
        <v>32749.384770454544</v>
      </c>
      <c r="J25" s="75">
        <f>'Tot Oil U'!I37</f>
        <v>27510.829999999994</v>
      </c>
      <c r="K25" s="75">
        <f>'Tot Oil U'!J37</f>
        <v>25250.775709</v>
      </c>
      <c r="L25" s="75">
        <f>'Tot Oil U'!K37</f>
        <v>31275.616209999993</v>
      </c>
      <c r="M25" s="64">
        <f t="shared" si="0"/>
        <v>1168.2799183020916</v>
      </c>
      <c r="N25" s="64">
        <f t="shared" si="1"/>
        <v>1167.51527086808</v>
      </c>
      <c r="O25" s="64">
        <f t="shared" si="2"/>
        <v>1074.7995740937279</v>
      </c>
      <c r="P25" s="64">
        <f t="shared" si="3"/>
        <v>967.9531263873768</v>
      </c>
      <c r="Q25" s="64">
        <f t="shared" si="3"/>
        <v>1194.7691120278446</v>
      </c>
    </row>
    <row r="26" spans="1:17" s="25" customFormat="1" ht="28.5" customHeight="1">
      <c r="A26" s="123" t="s">
        <v>90</v>
      </c>
      <c r="B26" s="62" t="s">
        <v>4</v>
      </c>
      <c r="C26" s="75">
        <f>'Cotton '!B28</f>
        <v>11977</v>
      </c>
      <c r="D26" s="75">
        <f>'Cotton '!C28</f>
        <v>11960</v>
      </c>
      <c r="E26" s="75">
        <f>'Cotton '!D28</f>
        <v>12819</v>
      </c>
      <c r="F26" s="75">
        <f>'Cotton '!E28</f>
        <v>12292</v>
      </c>
      <c r="G26" s="75">
        <f>'Cotton '!F28</f>
        <v>10826.4</v>
      </c>
      <c r="H26" s="75">
        <f>'Cotton '!G28</f>
        <v>34220</v>
      </c>
      <c r="I26" s="75">
        <f>'Cotton '!H28</f>
        <v>35902</v>
      </c>
      <c r="J26" s="75">
        <f>'Cotton '!I28</f>
        <v>34805</v>
      </c>
      <c r="K26" s="75">
        <f>'Cotton '!J28</f>
        <v>30005</v>
      </c>
      <c r="L26" s="75">
        <f>'Cotton '!K28</f>
        <v>32577.405882352945</v>
      </c>
      <c r="M26" s="66">
        <f>H26*170/C26</f>
        <v>485.7142857142857</v>
      </c>
      <c r="N26" s="66">
        <f>I26*170/D26</f>
        <v>510.31270903010034</v>
      </c>
      <c r="O26" s="64">
        <f>J26/E26*170</f>
        <v>461.5687651142835</v>
      </c>
      <c r="P26" s="64">
        <f>K26/F26*170</f>
        <v>414.9731532704198</v>
      </c>
      <c r="Q26" s="64">
        <f>L26/G26*170</f>
        <v>511.5420638439371</v>
      </c>
    </row>
    <row r="27" spans="1:17" s="3" customFormat="1" ht="28.5" customHeight="1">
      <c r="A27" s="18" t="s">
        <v>91</v>
      </c>
      <c r="B27" s="29" t="s">
        <v>4</v>
      </c>
      <c r="C27" s="74">
        <f>'Jute '!B12</f>
        <v>776.67</v>
      </c>
      <c r="D27" s="74">
        <f>'Jute '!C12</f>
        <v>756.034</v>
      </c>
      <c r="E27" s="74">
        <f>'Jute '!D12</f>
        <v>749.76</v>
      </c>
      <c r="F27" s="74">
        <f>'Jute '!E12</f>
        <v>728.306</v>
      </c>
      <c r="G27" s="74">
        <f>'Jute '!F12</f>
        <v>706.0699999999999</v>
      </c>
      <c r="H27" s="74">
        <f>'Jute '!G12</f>
        <v>10340.33</v>
      </c>
      <c r="I27" s="74">
        <f>'Jute '!H12</f>
        <v>11083.274</v>
      </c>
      <c r="J27" s="74">
        <f>'Jute '!I12</f>
        <v>10618.18</v>
      </c>
      <c r="K27" s="74">
        <f>'Jute '!J12</f>
        <v>9940.223</v>
      </c>
      <c r="L27" s="74">
        <f>'Jute '!K12</f>
        <v>10432.254</v>
      </c>
      <c r="M27" s="12">
        <f aca="true" t="shared" si="10" ref="M27:N29">H27*180/C27</f>
        <v>2396.4610452315655</v>
      </c>
      <c r="N27" s="12">
        <f t="shared" si="10"/>
        <v>2638.756087689178</v>
      </c>
      <c r="O27" s="6">
        <f aca="true" t="shared" si="11" ref="O27:Q29">J27/E27*180</f>
        <v>2549.1789372599233</v>
      </c>
      <c r="P27" s="6">
        <f t="shared" si="11"/>
        <v>2456.7148149266927</v>
      </c>
      <c r="Q27" s="6">
        <f t="shared" si="11"/>
        <v>2659.517781523079</v>
      </c>
    </row>
    <row r="28" spans="1:17" s="3" customFormat="1" ht="28.5" customHeight="1">
      <c r="A28" s="18" t="s">
        <v>92</v>
      </c>
      <c r="B28" s="29" t="s">
        <v>4</v>
      </c>
      <c r="C28" s="74">
        <f>'Mesta U'!B19</f>
        <v>85.849</v>
      </c>
      <c r="D28" s="74">
        <f>'Mesta U'!C19</f>
        <v>81.633</v>
      </c>
      <c r="E28" s="74">
        <f>'Mesta U'!D19</f>
        <v>59.95000000000002</v>
      </c>
      <c r="F28" s="74">
        <f>'Mesta U'!E19</f>
        <v>53.995</v>
      </c>
      <c r="G28" s="74">
        <f>'Mesta U'!F19</f>
        <v>57.34</v>
      </c>
      <c r="H28" s="74">
        <f>'Mesta U'!G19</f>
        <v>589.787</v>
      </c>
      <c r="I28" s="74">
        <f>'Mesta U'!H19</f>
        <v>606.886</v>
      </c>
      <c r="J28" s="74">
        <f>'Mesta U'!I19</f>
        <v>507.87000000000006</v>
      </c>
      <c r="K28" s="74">
        <f>'Mesta U'!J19</f>
        <v>583.358</v>
      </c>
      <c r="L28" s="73">
        <v>530.15</v>
      </c>
      <c r="M28" s="12">
        <f t="shared" si="10"/>
        <v>1236.609162599448</v>
      </c>
      <c r="N28" s="12">
        <f t="shared" si="10"/>
        <v>1338.1779427437434</v>
      </c>
      <c r="O28" s="6">
        <f t="shared" si="11"/>
        <v>1524.8807339449538</v>
      </c>
      <c r="P28" s="6">
        <f t="shared" si="11"/>
        <v>1944.7067321048246</v>
      </c>
      <c r="Q28" s="6">
        <f t="shared" si="11"/>
        <v>1664.2309033833274</v>
      </c>
    </row>
    <row r="29" spans="1:17" s="25" customFormat="1" ht="28.5" customHeight="1">
      <c r="A29" s="123" t="s">
        <v>97</v>
      </c>
      <c r="B29" s="62" t="s">
        <v>4</v>
      </c>
      <c r="C29" s="75">
        <f>'J &amp; M '!B23</f>
        <v>862.519</v>
      </c>
      <c r="D29" s="75">
        <f>'J &amp; M '!C23</f>
        <v>837.667</v>
      </c>
      <c r="E29" s="75">
        <f>'J &amp; M '!D23</f>
        <v>809.71</v>
      </c>
      <c r="F29" s="75">
        <f>'J &amp; M '!E23</f>
        <v>782.301</v>
      </c>
      <c r="G29" s="75">
        <f>'J &amp; M '!F23</f>
        <v>763.41</v>
      </c>
      <c r="H29" s="75">
        <f>'J &amp; M '!G23</f>
        <v>10930.117</v>
      </c>
      <c r="I29" s="75">
        <f>'J &amp; M '!H23</f>
        <v>11690.16</v>
      </c>
      <c r="J29" s="75">
        <f>'J &amp; M '!I23</f>
        <v>11126.050000000001</v>
      </c>
      <c r="K29" s="75">
        <f>'J &amp; M '!J23</f>
        <v>10523.581</v>
      </c>
      <c r="L29" s="75">
        <f>'J &amp; M '!K23</f>
        <v>10962.404</v>
      </c>
      <c r="M29" s="66">
        <f t="shared" si="10"/>
        <v>2281.0176471474833</v>
      </c>
      <c r="N29" s="66">
        <f t="shared" si="10"/>
        <v>2512.0110974886197</v>
      </c>
      <c r="O29" s="64">
        <f t="shared" si="11"/>
        <v>2473.341072729743</v>
      </c>
      <c r="P29" s="64">
        <f t="shared" si="11"/>
        <v>2421.375634186841</v>
      </c>
      <c r="Q29" s="64">
        <f t="shared" si="11"/>
        <v>2584.761425708335</v>
      </c>
    </row>
    <row r="30" spans="1:17" s="25" customFormat="1" ht="28.5" customHeight="1">
      <c r="A30" s="123" t="s">
        <v>93</v>
      </c>
      <c r="B30" s="62" t="s">
        <v>4</v>
      </c>
      <c r="C30" s="75">
        <f>'Sugarcane '!B36</f>
        <v>4998.943000000001</v>
      </c>
      <c r="D30" s="75">
        <f>'Sugarcane '!C36</f>
        <v>4993.348000000001</v>
      </c>
      <c r="E30" s="75">
        <f>'Sugarcane '!D36</f>
        <v>5066.78</v>
      </c>
      <c r="F30" s="75">
        <f>'Sugarcane '!E36</f>
        <v>4927.123350000001</v>
      </c>
      <c r="G30" s="75">
        <f>'Sugarcane '!F36</f>
        <v>4435.69</v>
      </c>
      <c r="H30" s="75">
        <f>'Sugarcane '!G36</f>
        <v>341199.6503250001</v>
      </c>
      <c r="I30" s="75">
        <f>'Sugarcane '!H36</f>
        <v>352141.82934000005</v>
      </c>
      <c r="J30" s="75">
        <f>'Sugarcane '!I36</f>
        <v>362332.77</v>
      </c>
      <c r="K30" s="75">
        <f>'Sugarcane '!J36</f>
        <v>348448.39547700004</v>
      </c>
      <c r="L30" s="75">
        <f>'Sugarcane '!K36</f>
        <v>306069</v>
      </c>
      <c r="M30" s="64">
        <f>H30/C30*1000</f>
        <v>68254.35903650032</v>
      </c>
      <c r="N30" s="64">
        <f>I30/D30*1000</f>
        <v>70522.18858769708</v>
      </c>
      <c r="O30" s="64">
        <f>J30/E30*1000</f>
        <v>71511.44711236724</v>
      </c>
      <c r="P30" s="64">
        <f>K30/F30*1000</f>
        <v>70720.45303615142</v>
      </c>
      <c r="Q30" s="64">
        <f>L30/G30*1000</f>
        <v>69001.44058759743</v>
      </c>
    </row>
    <row r="31" spans="1:12" s="3" customFormat="1" ht="13.5" customHeight="1">
      <c r="A31" s="30" t="s">
        <v>94</v>
      </c>
      <c r="B31" s="4"/>
      <c r="C31" s="17"/>
      <c r="D31" s="17"/>
      <c r="E31" s="17"/>
      <c r="F31" s="17"/>
      <c r="G31" s="17"/>
      <c r="H31" s="60"/>
      <c r="I31" s="60"/>
      <c r="J31" s="60"/>
      <c r="K31" s="72"/>
      <c r="L31" s="72"/>
    </row>
    <row r="32" ht="13.5" customHeight="1">
      <c r="A32" s="31" t="s">
        <v>95</v>
      </c>
    </row>
    <row r="34" ht="15">
      <c r="A34" s="58"/>
    </row>
    <row r="35" spans="3:12" ht="15"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3:12" ht="15"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3:12" ht="15"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3:12" ht="15"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3:12" ht="15"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3:12" ht="15"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3:12" ht="15"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  <row r="42" spans="3:12" ht="15"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3:12" ht="15">
      <c r="C43" s="113"/>
      <c r="D43" s="113"/>
      <c r="E43" s="113"/>
      <c r="F43" s="113"/>
      <c r="G43" s="113"/>
      <c r="H43" s="113"/>
      <c r="I43" s="113"/>
      <c r="J43" s="113"/>
      <c r="K43" s="113"/>
      <c r="L43" s="113"/>
    </row>
    <row r="44" spans="3:12" ht="15">
      <c r="C44" s="113"/>
      <c r="D44" s="113"/>
      <c r="E44" s="113"/>
      <c r="F44" s="113"/>
      <c r="G44" s="113"/>
      <c r="H44" s="113"/>
      <c r="I44" s="113"/>
      <c r="J44" s="113"/>
      <c r="K44" s="113"/>
      <c r="L44" s="113"/>
    </row>
  </sheetData>
  <sheetProtection/>
  <mergeCells count="6">
    <mergeCell ref="A1:Q1"/>
    <mergeCell ref="M2:Q2"/>
    <mergeCell ref="A2:A3"/>
    <mergeCell ref="B2:B3"/>
    <mergeCell ref="C2:G2"/>
    <mergeCell ref="H2:L2"/>
  </mergeCells>
  <printOptions horizontalCentered="1"/>
  <pageMargins left="0" right="0" top="0.118110236220472" bottom="0.236220472440945" header="0.118110236220472" footer="0.511811023622047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view="pageBreakPreview" zoomScale="55" zoomScaleNormal="60" zoomScaleSheetLayoutView="55" zoomScalePageLayoutView="0" workbookViewId="0" topLeftCell="A4">
      <selection activeCell="L22" sqref="L22:O22"/>
    </sheetView>
  </sheetViews>
  <sheetFormatPr defaultColWidth="9.140625" defaultRowHeight="12.75"/>
  <cols>
    <col min="1" max="1" width="25.7109375" style="21" customWidth="1"/>
    <col min="2" max="9" width="12.57421875" style="21" customWidth="1"/>
    <col min="10" max="10" width="14.00390625" style="15" bestFit="1" customWidth="1"/>
    <col min="11" max="11" width="14.00390625" style="15" customWidth="1"/>
    <col min="12" max="12" width="12.57421875" style="21" customWidth="1"/>
    <col min="13" max="13" width="12.7109375" style="21" bestFit="1" customWidth="1"/>
    <col min="14" max="16" width="13.28125" style="21" customWidth="1"/>
    <col min="17" max="16384" width="9.140625" style="21" customWidth="1"/>
  </cols>
  <sheetData>
    <row r="1" spans="1:16" ht="26.25" customHeight="1">
      <c r="A1" s="202" t="s">
        <v>133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s="154" customFormat="1" ht="33.75" customHeight="1">
      <c r="A2" s="217" t="s">
        <v>0</v>
      </c>
      <c r="B2" s="185" t="s">
        <v>81</v>
      </c>
      <c r="C2" s="186"/>
      <c r="D2" s="186"/>
      <c r="E2" s="186"/>
      <c r="F2" s="187"/>
      <c r="G2" s="185" t="s">
        <v>82</v>
      </c>
      <c r="H2" s="186"/>
      <c r="I2" s="186"/>
      <c r="J2" s="186"/>
      <c r="K2" s="187"/>
      <c r="L2" s="184" t="s">
        <v>79</v>
      </c>
      <c r="M2" s="184"/>
      <c r="N2" s="184"/>
      <c r="O2" s="184"/>
      <c r="P2" s="184"/>
    </row>
    <row r="3" spans="1:16" s="155" customFormat="1" ht="33.75" customHeight="1">
      <c r="A3" s="217"/>
      <c r="B3" s="133" t="s">
        <v>112</v>
      </c>
      <c r="C3" s="133" t="s">
        <v>113</v>
      </c>
      <c r="D3" s="126" t="s">
        <v>115</v>
      </c>
      <c r="E3" s="126" t="s">
        <v>121</v>
      </c>
      <c r="F3" s="126" t="s">
        <v>122</v>
      </c>
      <c r="G3" s="133" t="s">
        <v>112</v>
      </c>
      <c r="H3" s="133" t="s">
        <v>113</v>
      </c>
      <c r="I3" s="126" t="s">
        <v>115</v>
      </c>
      <c r="J3" s="126" t="s">
        <v>121</v>
      </c>
      <c r="K3" s="126" t="s">
        <v>122</v>
      </c>
      <c r="L3" s="133" t="s">
        <v>112</v>
      </c>
      <c r="M3" s="133" t="s">
        <v>113</v>
      </c>
      <c r="N3" s="126" t="s">
        <v>115</v>
      </c>
      <c r="O3" s="126" t="s">
        <v>121</v>
      </c>
      <c r="P3" s="126" t="s">
        <v>122</v>
      </c>
    </row>
    <row r="4" spans="1:16" ht="27" customHeight="1">
      <c r="A4" s="5" t="s">
        <v>1</v>
      </c>
      <c r="B4" s="73">
        <v>1</v>
      </c>
      <c r="C4" s="73">
        <v>1.2793733681462138</v>
      </c>
      <c r="D4" s="73">
        <v>1</v>
      </c>
      <c r="E4" s="73">
        <v>1</v>
      </c>
      <c r="F4" s="73">
        <v>2</v>
      </c>
      <c r="G4" s="73">
        <v>2.99</v>
      </c>
      <c r="H4" s="73">
        <v>3.3840118402702006</v>
      </c>
      <c r="I4" s="73">
        <v>2</v>
      </c>
      <c r="J4" s="73">
        <v>2</v>
      </c>
      <c r="K4" s="73">
        <v>3.224</v>
      </c>
      <c r="L4" s="98">
        <f aca="true" t="shared" si="0" ref="L4:L26">G4/B4*1000</f>
        <v>2990</v>
      </c>
      <c r="M4" s="98">
        <f aca="true" t="shared" si="1" ref="M4:M26">H4/C4*1000</f>
        <v>2645.054152700994</v>
      </c>
      <c r="N4" s="98">
        <f aca="true" t="shared" si="2" ref="N4:N26">I4/D4*1000</f>
        <v>2000</v>
      </c>
      <c r="O4" s="98">
        <f aca="true" t="shared" si="3" ref="O4:P26">J4/E4*1000</f>
        <v>2000</v>
      </c>
      <c r="P4" s="98">
        <f t="shared" si="3"/>
        <v>1612</v>
      </c>
    </row>
    <row r="5" spans="1:16" ht="27" customHeight="1">
      <c r="A5" s="5" t="s">
        <v>33</v>
      </c>
      <c r="B5" s="73">
        <v>2.977</v>
      </c>
      <c r="C5" s="73">
        <v>2.75</v>
      </c>
      <c r="D5" s="73">
        <v>2.84</v>
      </c>
      <c r="E5" s="73">
        <v>2.839</v>
      </c>
      <c r="F5" s="73">
        <v>3.098</v>
      </c>
      <c r="G5" s="73">
        <v>4.519</v>
      </c>
      <c r="H5" s="73">
        <v>3.5</v>
      </c>
      <c r="I5" s="73">
        <v>2.62</v>
      </c>
      <c r="J5" s="73">
        <v>2.814</v>
      </c>
      <c r="K5" s="73">
        <v>4.398</v>
      </c>
      <c r="L5" s="98">
        <f t="shared" si="0"/>
        <v>1517.971111857575</v>
      </c>
      <c r="M5" s="98">
        <f t="shared" si="1"/>
        <v>1272.7272727272727</v>
      </c>
      <c r="N5" s="98">
        <f t="shared" si="2"/>
        <v>922.5352112676057</v>
      </c>
      <c r="O5" s="98">
        <f t="shared" si="3"/>
        <v>991.1940824233885</v>
      </c>
      <c r="P5" s="98">
        <f t="shared" si="3"/>
        <v>1419.625564880568</v>
      </c>
    </row>
    <row r="6" spans="1:16" ht="27" customHeight="1">
      <c r="A6" s="5" t="s">
        <v>6</v>
      </c>
      <c r="B6" s="73">
        <v>106.3</v>
      </c>
      <c r="C6" s="73">
        <v>106.6</v>
      </c>
      <c r="D6" s="73">
        <v>105.9</v>
      </c>
      <c r="E6" s="73">
        <v>119.7</v>
      </c>
      <c r="F6" s="73">
        <v>104.1</v>
      </c>
      <c r="G6" s="73">
        <v>128.1</v>
      </c>
      <c r="H6" s="73">
        <v>93.5</v>
      </c>
      <c r="I6" s="73">
        <v>79.74</v>
      </c>
      <c r="J6" s="73">
        <v>69</v>
      </c>
      <c r="K6" s="73">
        <v>72.6</v>
      </c>
      <c r="L6" s="98">
        <f t="shared" si="0"/>
        <v>1205.0799623706491</v>
      </c>
      <c r="M6" s="98">
        <f t="shared" si="1"/>
        <v>877.110694183865</v>
      </c>
      <c r="N6" s="98">
        <f t="shared" si="2"/>
        <v>752.9745042492917</v>
      </c>
      <c r="O6" s="98">
        <f t="shared" si="3"/>
        <v>576.4411027568922</v>
      </c>
      <c r="P6" s="98">
        <f t="shared" si="3"/>
        <v>697.406340057637</v>
      </c>
    </row>
    <row r="7" spans="1:16" ht="27" customHeight="1">
      <c r="A7" s="5" t="s">
        <v>50</v>
      </c>
      <c r="B7" s="73">
        <v>47</v>
      </c>
      <c r="C7" s="73">
        <v>60</v>
      </c>
      <c r="D7" s="73">
        <v>57</v>
      </c>
      <c r="E7" s="73">
        <v>80</v>
      </c>
      <c r="F7" s="73">
        <v>120</v>
      </c>
      <c r="G7" s="73">
        <v>47</v>
      </c>
      <c r="H7" s="73">
        <v>44</v>
      </c>
      <c r="I7" s="73">
        <v>43</v>
      </c>
      <c r="J7" s="73">
        <v>54</v>
      </c>
      <c r="K7" s="73">
        <v>86</v>
      </c>
      <c r="L7" s="98">
        <f t="shared" si="0"/>
        <v>1000</v>
      </c>
      <c r="M7" s="98">
        <f t="shared" si="1"/>
        <v>733.3333333333333</v>
      </c>
      <c r="N7" s="98">
        <f t="shared" si="2"/>
        <v>754.3859649122808</v>
      </c>
      <c r="O7" s="98">
        <f t="shared" si="3"/>
        <v>675</v>
      </c>
      <c r="P7" s="98">
        <f t="shared" si="3"/>
        <v>716.6666666666666</v>
      </c>
    </row>
    <row r="8" spans="1:16" ht="27" customHeight="1">
      <c r="A8" s="5" t="s">
        <v>10</v>
      </c>
      <c r="B8" s="73">
        <v>0.63</v>
      </c>
      <c r="C8" s="73">
        <v>0.6</v>
      </c>
      <c r="D8" s="73">
        <v>0.65</v>
      </c>
      <c r="E8" s="73">
        <v>0.556</v>
      </c>
      <c r="F8" s="73">
        <v>0.606</v>
      </c>
      <c r="G8" s="73">
        <v>0.9</v>
      </c>
      <c r="H8" s="73">
        <v>0.87</v>
      </c>
      <c r="I8" s="73">
        <v>0.94</v>
      </c>
      <c r="J8" s="73">
        <v>0.932</v>
      </c>
      <c r="K8" s="73">
        <v>0.594</v>
      </c>
      <c r="L8" s="98">
        <f t="shared" si="0"/>
        <v>1428.5714285714287</v>
      </c>
      <c r="M8" s="98">
        <f t="shared" si="1"/>
        <v>1450</v>
      </c>
      <c r="N8" s="98">
        <f t="shared" si="2"/>
        <v>1446.1538461538462</v>
      </c>
      <c r="O8" s="98">
        <f t="shared" si="3"/>
        <v>1676.2589928057555</v>
      </c>
      <c r="P8" s="98">
        <f t="shared" si="3"/>
        <v>980.1980198019802</v>
      </c>
    </row>
    <row r="9" spans="1:16" ht="27" customHeight="1">
      <c r="A9" s="5" t="s">
        <v>51</v>
      </c>
      <c r="B9" s="73">
        <v>0.72</v>
      </c>
      <c r="C9" s="73">
        <v>0.526</v>
      </c>
      <c r="D9" s="73">
        <v>0.99</v>
      </c>
      <c r="E9" s="73">
        <v>0.5</v>
      </c>
      <c r="F9" s="73">
        <v>1.043</v>
      </c>
      <c r="G9" s="73">
        <v>0.86</v>
      </c>
      <c r="H9" s="73">
        <v>0.578</v>
      </c>
      <c r="I9" s="73">
        <v>0.8</v>
      </c>
      <c r="J9" s="73">
        <v>0.4655</v>
      </c>
      <c r="K9" s="73">
        <v>0.604</v>
      </c>
      <c r="L9" s="98">
        <f t="shared" si="0"/>
        <v>1194.4444444444443</v>
      </c>
      <c r="M9" s="98">
        <f t="shared" si="1"/>
        <v>1098.8593155893536</v>
      </c>
      <c r="N9" s="98">
        <f t="shared" si="2"/>
        <v>808.0808080808082</v>
      </c>
      <c r="O9" s="98">
        <f t="shared" si="3"/>
        <v>931</v>
      </c>
      <c r="P9" s="98">
        <f t="shared" si="3"/>
        <v>579.0987535953979</v>
      </c>
    </row>
    <row r="10" spans="1:16" ht="27" customHeight="1">
      <c r="A10" s="5" t="s">
        <v>11</v>
      </c>
      <c r="B10" s="73">
        <v>170</v>
      </c>
      <c r="C10" s="73">
        <v>219</v>
      </c>
      <c r="D10" s="73">
        <v>256</v>
      </c>
      <c r="E10" s="73">
        <v>258</v>
      </c>
      <c r="F10" s="73">
        <v>318</v>
      </c>
      <c r="G10" s="73">
        <v>178</v>
      </c>
      <c r="H10" s="73">
        <v>270</v>
      </c>
      <c r="I10" s="73">
        <v>189</v>
      </c>
      <c r="J10" s="73">
        <v>140</v>
      </c>
      <c r="K10" s="73">
        <v>237</v>
      </c>
      <c r="L10" s="98">
        <f t="shared" si="0"/>
        <v>1047.0588235294117</v>
      </c>
      <c r="M10" s="98">
        <f t="shared" si="1"/>
        <v>1232.876712328767</v>
      </c>
      <c r="N10" s="98">
        <f t="shared" si="2"/>
        <v>738.28125</v>
      </c>
      <c r="O10" s="98">
        <f t="shared" si="3"/>
        <v>542.6356589147287</v>
      </c>
      <c r="P10" s="98">
        <f t="shared" si="3"/>
        <v>745.2830188679245</v>
      </c>
    </row>
    <row r="11" spans="1:16" ht="27" customHeight="1">
      <c r="A11" s="5" t="s">
        <v>13</v>
      </c>
      <c r="B11" s="73">
        <v>6031.7</v>
      </c>
      <c r="C11" s="73">
        <v>6308.6</v>
      </c>
      <c r="D11" s="73">
        <v>5578</v>
      </c>
      <c r="E11" s="73">
        <v>5906</v>
      </c>
      <c r="F11" s="73">
        <v>5401</v>
      </c>
      <c r="G11" s="73">
        <v>7800.1</v>
      </c>
      <c r="H11" s="73">
        <v>5242.4466</v>
      </c>
      <c r="I11" s="73">
        <v>6353</v>
      </c>
      <c r="J11" s="73">
        <v>4907.886</v>
      </c>
      <c r="K11" s="73">
        <v>6649</v>
      </c>
      <c r="L11" s="98">
        <f t="shared" si="0"/>
        <v>1293.1843427226156</v>
      </c>
      <c r="M11" s="98">
        <f t="shared" si="1"/>
        <v>831</v>
      </c>
      <c r="N11" s="98">
        <f t="shared" si="2"/>
        <v>1138.9386877016852</v>
      </c>
      <c r="O11" s="98">
        <f t="shared" si="3"/>
        <v>831.0000000000001</v>
      </c>
      <c r="P11" s="98">
        <f t="shared" si="3"/>
        <v>1231.0683206813553</v>
      </c>
    </row>
    <row r="12" spans="1:16" ht="27" customHeight="1">
      <c r="A12" s="22" t="s">
        <v>14</v>
      </c>
      <c r="B12" s="84">
        <v>3219</v>
      </c>
      <c r="C12" s="84">
        <v>3520</v>
      </c>
      <c r="D12" s="84">
        <v>3640</v>
      </c>
      <c r="E12" s="73">
        <v>3702</v>
      </c>
      <c r="F12" s="73">
        <v>3840.8</v>
      </c>
      <c r="G12" s="84">
        <v>4670.769</v>
      </c>
      <c r="H12" s="84">
        <v>4754.926420454545</v>
      </c>
      <c r="I12" s="84">
        <v>2384.2</v>
      </c>
      <c r="J12" s="73">
        <v>2061.0885</v>
      </c>
      <c r="K12" s="73">
        <v>4586.7</v>
      </c>
      <c r="L12" s="98">
        <f t="shared" si="0"/>
        <v>1451</v>
      </c>
      <c r="M12" s="98">
        <f t="shared" si="1"/>
        <v>1350.831369447314</v>
      </c>
      <c r="N12" s="98">
        <f t="shared" si="2"/>
        <v>654.9999999999999</v>
      </c>
      <c r="O12" s="98">
        <f t="shared" si="3"/>
        <v>556.75</v>
      </c>
      <c r="P12" s="98">
        <f t="shared" si="3"/>
        <v>1194.2043324307433</v>
      </c>
    </row>
    <row r="13" spans="1:16" ht="27" customHeight="1">
      <c r="A13" s="22" t="s">
        <v>37</v>
      </c>
      <c r="B13" s="84">
        <v>7.5</v>
      </c>
      <c r="C13" s="84">
        <v>5.24</v>
      </c>
      <c r="D13" s="84">
        <v>5.32</v>
      </c>
      <c r="E13" s="73">
        <v>5.11</v>
      </c>
      <c r="F13" s="73">
        <v>5.11</v>
      </c>
      <c r="G13" s="84">
        <v>0.82</v>
      </c>
      <c r="H13" s="84">
        <v>4.6</v>
      </c>
      <c r="I13" s="84">
        <v>4.62</v>
      </c>
      <c r="J13" s="73">
        <v>4.28</v>
      </c>
      <c r="K13" s="73">
        <v>4.38</v>
      </c>
      <c r="L13" s="98">
        <f t="shared" si="0"/>
        <v>109.33333333333333</v>
      </c>
      <c r="M13" s="98">
        <f t="shared" si="1"/>
        <v>877.8625954198473</v>
      </c>
      <c r="N13" s="98">
        <f t="shared" si="2"/>
        <v>868.4210526315788</v>
      </c>
      <c r="O13" s="98">
        <f t="shared" si="3"/>
        <v>837.573385518591</v>
      </c>
      <c r="P13" s="98">
        <f t="shared" si="3"/>
        <v>857.1428571428571</v>
      </c>
    </row>
    <row r="14" spans="1:16" ht="27" customHeight="1">
      <c r="A14" s="22" t="s">
        <v>38</v>
      </c>
      <c r="B14" s="84">
        <v>1.11</v>
      </c>
      <c r="C14" s="84">
        <v>1.61</v>
      </c>
      <c r="D14" s="84">
        <v>1.71</v>
      </c>
      <c r="E14" s="73">
        <v>1.735</v>
      </c>
      <c r="F14" s="73">
        <v>1.85</v>
      </c>
      <c r="G14" s="84">
        <v>1.22</v>
      </c>
      <c r="H14" s="84">
        <v>2.93</v>
      </c>
      <c r="I14" s="84">
        <v>3.33</v>
      </c>
      <c r="J14" s="73">
        <v>3.439</v>
      </c>
      <c r="K14" s="73">
        <v>3.5</v>
      </c>
      <c r="L14" s="98">
        <f t="shared" si="0"/>
        <v>1099.099099099099</v>
      </c>
      <c r="M14" s="98">
        <f t="shared" si="1"/>
        <v>1819.8757763975154</v>
      </c>
      <c r="N14" s="98">
        <f t="shared" si="2"/>
        <v>1947.3684210526317</v>
      </c>
      <c r="O14" s="98">
        <f t="shared" si="3"/>
        <v>1982.1325648414984</v>
      </c>
      <c r="P14" s="98">
        <f t="shared" si="3"/>
        <v>1891.8918918918919</v>
      </c>
    </row>
    <row r="15" spans="1:16" ht="27" customHeight="1">
      <c r="A15" s="22" t="s">
        <v>39</v>
      </c>
      <c r="B15" s="84">
        <v>1.07</v>
      </c>
      <c r="C15" s="84">
        <v>0.98</v>
      </c>
      <c r="D15" s="84">
        <v>1.04</v>
      </c>
      <c r="E15" s="73">
        <v>1.048</v>
      </c>
      <c r="F15" s="73">
        <v>1.019</v>
      </c>
      <c r="G15" s="84">
        <v>1.51</v>
      </c>
      <c r="H15" s="84">
        <v>1.45</v>
      </c>
      <c r="I15" s="84">
        <v>1.47</v>
      </c>
      <c r="J15" s="73">
        <v>1.613</v>
      </c>
      <c r="K15" s="73">
        <v>1.604</v>
      </c>
      <c r="L15" s="98">
        <f t="shared" si="0"/>
        <v>1411.2149532710278</v>
      </c>
      <c r="M15" s="98">
        <f t="shared" si="1"/>
        <v>1479.5918367346937</v>
      </c>
      <c r="N15" s="98">
        <f t="shared" si="2"/>
        <v>1413.4615384615383</v>
      </c>
      <c r="O15" s="98">
        <f t="shared" si="3"/>
        <v>1539.1221374045801</v>
      </c>
      <c r="P15" s="98">
        <f t="shared" si="3"/>
        <v>1574.0922473012758</v>
      </c>
    </row>
    <row r="16" spans="1:16" ht="27" customHeight="1">
      <c r="A16" s="22" t="s">
        <v>15</v>
      </c>
      <c r="B16" s="84">
        <v>24.67</v>
      </c>
      <c r="C16" s="84">
        <v>24.75</v>
      </c>
      <c r="D16" s="84">
        <v>24.76</v>
      </c>
      <c r="E16" s="73">
        <v>24.86</v>
      </c>
      <c r="F16" s="73">
        <v>24.98</v>
      </c>
      <c r="G16" s="84">
        <v>30.88</v>
      </c>
      <c r="H16" s="84">
        <v>31.06</v>
      </c>
      <c r="I16" s="84">
        <v>31.06</v>
      </c>
      <c r="J16" s="73">
        <v>31.17</v>
      </c>
      <c r="K16" s="73">
        <v>31.41</v>
      </c>
      <c r="L16" s="98">
        <f t="shared" si="0"/>
        <v>1251.722740170247</v>
      </c>
      <c r="M16" s="98">
        <f t="shared" si="1"/>
        <v>1254.949494949495</v>
      </c>
      <c r="N16" s="98">
        <f t="shared" si="2"/>
        <v>1254.4426494345716</v>
      </c>
      <c r="O16" s="98">
        <f t="shared" si="3"/>
        <v>1253.821399839099</v>
      </c>
      <c r="P16" s="98">
        <f t="shared" si="3"/>
        <v>1257.4059247397918</v>
      </c>
    </row>
    <row r="17" spans="1:16" ht="27" customHeight="1">
      <c r="A17" s="22" t="s">
        <v>111</v>
      </c>
      <c r="B17" s="84">
        <v>0.306</v>
      </c>
      <c r="C17" s="84">
        <v>0.26</v>
      </c>
      <c r="D17" s="84">
        <v>1.06</v>
      </c>
      <c r="E17" s="74">
        <v>0</v>
      </c>
      <c r="F17" s="74">
        <v>0</v>
      </c>
      <c r="G17" s="84">
        <v>0.2</v>
      </c>
      <c r="H17" s="84">
        <v>0.16</v>
      </c>
      <c r="I17" s="84">
        <v>0.7</v>
      </c>
      <c r="J17" s="74">
        <v>0</v>
      </c>
      <c r="K17" s="74">
        <v>0</v>
      </c>
      <c r="L17" s="98">
        <f t="shared" si="0"/>
        <v>653.5947712418301</v>
      </c>
      <c r="M17" s="98">
        <f t="shared" si="1"/>
        <v>615.3846153846155</v>
      </c>
      <c r="N17" s="98">
        <f t="shared" si="2"/>
        <v>660.377358490566</v>
      </c>
      <c r="O17" s="98">
        <v>0</v>
      </c>
      <c r="P17" s="98">
        <v>0</v>
      </c>
    </row>
    <row r="18" spans="1:16" ht="27" customHeight="1">
      <c r="A18" s="5" t="s">
        <v>18</v>
      </c>
      <c r="B18" s="73">
        <v>1039.78</v>
      </c>
      <c r="C18" s="73">
        <v>1175.11</v>
      </c>
      <c r="D18" s="73">
        <v>923.14</v>
      </c>
      <c r="E18" s="73">
        <v>1204.773</v>
      </c>
      <c r="F18" s="73">
        <v>1055.61</v>
      </c>
      <c r="G18" s="73">
        <v>1468.6</v>
      </c>
      <c r="H18" s="73">
        <v>974.65</v>
      </c>
      <c r="I18" s="73">
        <v>956.55</v>
      </c>
      <c r="J18" s="73">
        <v>998.756817</v>
      </c>
      <c r="K18" s="73">
        <v>1131.811</v>
      </c>
      <c r="L18" s="98">
        <f t="shared" si="0"/>
        <v>1412.4141645348054</v>
      </c>
      <c r="M18" s="98">
        <f t="shared" si="1"/>
        <v>829.4117146479905</v>
      </c>
      <c r="N18" s="98">
        <f t="shared" si="2"/>
        <v>1036.191693567606</v>
      </c>
      <c r="O18" s="98">
        <f t="shared" si="3"/>
        <v>829.0000000000001</v>
      </c>
      <c r="P18" s="98">
        <f t="shared" si="3"/>
        <v>1072.1866977387483</v>
      </c>
    </row>
    <row r="19" spans="1:16" ht="27" customHeight="1">
      <c r="A19" s="5" t="s">
        <v>43</v>
      </c>
      <c r="B19" s="73">
        <v>3.86</v>
      </c>
      <c r="C19" s="73">
        <v>3.88</v>
      </c>
      <c r="D19" s="73">
        <v>4.06</v>
      </c>
      <c r="E19" s="73">
        <v>3.28</v>
      </c>
      <c r="F19" s="73">
        <v>3.28</v>
      </c>
      <c r="G19" s="73">
        <v>3.61</v>
      </c>
      <c r="H19" s="73">
        <v>3.67</v>
      </c>
      <c r="I19" s="73">
        <v>3.85</v>
      </c>
      <c r="J19" s="73">
        <v>3.19</v>
      </c>
      <c r="K19" s="73">
        <v>3.198</v>
      </c>
      <c r="L19" s="98">
        <f t="shared" si="0"/>
        <v>935.2331606217616</v>
      </c>
      <c r="M19" s="98">
        <f t="shared" si="1"/>
        <v>945.8762886597938</v>
      </c>
      <c r="N19" s="98">
        <f t="shared" si="2"/>
        <v>948.2758620689656</v>
      </c>
      <c r="O19" s="98">
        <f t="shared" si="3"/>
        <v>972.5609756097562</v>
      </c>
      <c r="P19" s="98">
        <f t="shared" si="3"/>
        <v>975.0000000000001</v>
      </c>
    </row>
    <row r="20" spans="1:16" ht="27" customHeight="1">
      <c r="A20" s="5" t="s">
        <v>19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</row>
    <row r="21" spans="1:16" ht="27" customHeight="1">
      <c r="A21" s="5" t="s">
        <v>116</v>
      </c>
      <c r="B21" s="73">
        <v>158</v>
      </c>
      <c r="C21" s="73">
        <v>243.72062663185378</v>
      </c>
      <c r="D21" s="73">
        <v>242</v>
      </c>
      <c r="E21" s="73">
        <v>243</v>
      </c>
      <c r="F21" s="73">
        <v>277</v>
      </c>
      <c r="G21" s="73">
        <v>286.01</v>
      </c>
      <c r="H21" s="73">
        <v>391.6159881597298</v>
      </c>
      <c r="I21" s="73">
        <v>262</v>
      </c>
      <c r="J21" s="73">
        <v>252</v>
      </c>
      <c r="K21" s="73">
        <v>322</v>
      </c>
      <c r="L21" s="98">
        <f t="shared" si="0"/>
        <v>1810.1898734177216</v>
      </c>
      <c r="M21" s="98">
        <f t="shared" si="1"/>
        <v>1606.8233270681508</v>
      </c>
      <c r="N21" s="98">
        <f t="shared" si="2"/>
        <v>1082.6446280991736</v>
      </c>
      <c r="O21" s="98">
        <f t="shared" si="3"/>
        <v>1037.037037037037</v>
      </c>
      <c r="P21" s="98">
        <f t="shared" si="3"/>
        <v>1162.4548736462095</v>
      </c>
    </row>
    <row r="22" spans="1:16" ht="27" customHeight="1">
      <c r="A22" s="5" t="s">
        <v>53</v>
      </c>
      <c r="B22" s="74">
        <v>0</v>
      </c>
      <c r="C22" s="74">
        <v>0</v>
      </c>
      <c r="D22" s="74">
        <v>0</v>
      </c>
      <c r="E22" s="74">
        <v>0</v>
      </c>
      <c r="F22" s="73">
        <v>0.3</v>
      </c>
      <c r="G22" s="74">
        <v>0</v>
      </c>
      <c r="H22" s="74">
        <v>0</v>
      </c>
      <c r="I22" s="74">
        <v>0</v>
      </c>
      <c r="J22" s="74">
        <v>0</v>
      </c>
      <c r="K22" s="73">
        <v>0.264</v>
      </c>
      <c r="L22" s="98">
        <v>0</v>
      </c>
      <c r="M22" s="98">
        <v>0</v>
      </c>
      <c r="N22" s="98">
        <v>0</v>
      </c>
      <c r="O22" s="98">
        <v>0</v>
      </c>
      <c r="P22" s="98">
        <f t="shared" si="3"/>
        <v>880.0000000000001</v>
      </c>
    </row>
    <row r="23" spans="1:16" ht="27" customHeight="1">
      <c r="A23" s="5" t="s">
        <v>22</v>
      </c>
      <c r="B23" s="73">
        <v>14</v>
      </c>
      <c r="C23" s="73">
        <v>26</v>
      </c>
      <c r="D23" s="73">
        <v>52</v>
      </c>
      <c r="E23" s="73">
        <v>36</v>
      </c>
      <c r="F23" s="73">
        <v>11</v>
      </c>
      <c r="G23" s="73">
        <v>19</v>
      </c>
      <c r="H23" s="73">
        <v>15</v>
      </c>
      <c r="I23" s="73">
        <v>38</v>
      </c>
      <c r="J23" s="73">
        <v>18.694800000000004</v>
      </c>
      <c r="K23" s="73">
        <v>7</v>
      </c>
      <c r="L23" s="98">
        <f t="shared" si="0"/>
        <v>1357.142857142857</v>
      </c>
      <c r="M23" s="98">
        <f t="shared" si="1"/>
        <v>576.9230769230769</v>
      </c>
      <c r="N23" s="98">
        <f t="shared" si="2"/>
        <v>730.7692307692307</v>
      </c>
      <c r="O23" s="98">
        <f t="shared" si="3"/>
        <v>519.3000000000001</v>
      </c>
      <c r="P23" s="98">
        <f t="shared" si="3"/>
        <v>636.3636363636364</v>
      </c>
    </row>
    <row r="24" spans="1:16" ht="27" customHeight="1">
      <c r="A24" s="5" t="s">
        <v>86</v>
      </c>
      <c r="B24" s="73">
        <v>10.51</v>
      </c>
      <c r="C24" s="73">
        <v>14.92</v>
      </c>
      <c r="D24" s="73">
        <v>12.76</v>
      </c>
      <c r="E24" s="73">
        <v>13.54</v>
      </c>
      <c r="F24" s="73">
        <v>12</v>
      </c>
      <c r="G24" s="73">
        <v>20.86</v>
      </c>
      <c r="H24" s="73">
        <v>22.07</v>
      </c>
      <c r="I24" s="73">
        <v>16.5</v>
      </c>
      <c r="J24" s="73">
        <v>18.04</v>
      </c>
      <c r="K24" s="73">
        <v>13</v>
      </c>
      <c r="L24" s="98">
        <f t="shared" si="0"/>
        <v>1984.7764034253094</v>
      </c>
      <c r="M24" s="98">
        <f t="shared" si="1"/>
        <v>1479.2225201072386</v>
      </c>
      <c r="N24" s="98">
        <f t="shared" si="2"/>
        <v>1293.103448275862</v>
      </c>
      <c r="O24" s="98">
        <f t="shared" si="3"/>
        <v>1332.348596750369</v>
      </c>
      <c r="P24" s="98">
        <f t="shared" si="3"/>
        <v>1083.3333333333333</v>
      </c>
    </row>
    <row r="25" spans="1:16" ht="27" customHeight="1">
      <c r="A25" s="5" t="s">
        <v>23</v>
      </c>
      <c r="B25" s="73">
        <v>0.6</v>
      </c>
      <c r="C25" s="73">
        <v>0.582</v>
      </c>
      <c r="D25" s="73">
        <v>0.6</v>
      </c>
      <c r="E25" s="73">
        <v>0.6</v>
      </c>
      <c r="F25" s="73">
        <v>0.605</v>
      </c>
      <c r="G25" s="73">
        <v>0.5</v>
      </c>
      <c r="H25" s="73">
        <v>0.407</v>
      </c>
      <c r="I25" s="73">
        <v>0.42</v>
      </c>
      <c r="J25" s="73">
        <v>0.425</v>
      </c>
      <c r="K25" s="73">
        <v>0.443</v>
      </c>
      <c r="L25" s="98">
        <f t="shared" si="0"/>
        <v>833.3333333333334</v>
      </c>
      <c r="M25" s="98">
        <f t="shared" si="1"/>
        <v>699.3127147766322</v>
      </c>
      <c r="N25" s="98">
        <f t="shared" si="2"/>
        <v>700</v>
      </c>
      <c r="O25" s="98">
        <f t="shared" si="3"/>
        <v>708.3333333333334</v>
      </c>
      <c r="P25" s="98">
        <f t="shared" si="3"/>
        <v>732.2314049586777</v>
      </c>
    </row>
    <row r="26" spans="1:16" s="154" customFormat="1" ht="27" customHeight="1">
      <c r="A26" s="153" t="s">
        <v>70</v>
      </c>
      <c r="B26" s="129">
        <f aca="true" t="shared" si="4" ref="B26:K26">SUM(B4:B25)</f>
        <v>10840.733000000002</v>
      </c>
      <c r="C26" s="129">
        <f t="shared" si="4"/>
        <v>11716.408000000001</v>
      </c>
      <c r="D26" s="129">
        <f t="shared" si="4"/>
        <v>10910.83</v>
      </c>
      <c r="E26" s="129">
        <f t="shared" si="4"/>
        <v>11604.541000000005</v>
      </c>
      <c r="F26" s="129">
        <f t="shared" si="4"/>
        <v>11183.401000000002</v>
      </c>
      <c r="G26" s="129">
        <f t="shared" si="4"/>
        <v>14666.448000000002</v>
      </c>
      <c r="H26" s="129">
        <f t="shared" si="4"/>
        <v>11860.818020454546</v>
      </c>
      <c r="I26" s="129">
        <f t="shared" si="4"/>
        <v>10373.8</v>
      </c>
      <c r="J26" s="129">
        <f t="shared" si="4"/>
        <v>8569.794617000001</v>
      </c>
      <c r="K26" s="129">
        <f t="shared" si="4"/>
        <v>13158.729999999996</v>
      </c>
      <c r="L26" s="144">
        <f t="shared" si="0"/>
        <v>1352.9018748086498</v>
      </c>
      <c r="M26" s="144">
        <f t="shared" si="1"/>
        <v>1012.3254516618528</v>
      </c>
      <c r="N26" s="144">
        <f t="shared" si="2"/>
        <v>950.7800964729539</v>
      </c>
      <c r="O26" s="144">
        <f t="shared" si="3"/>
        <v>738.4863060934507</v>
      </c>
      <c r="P26" s="144">
        <f t="shared" si="3"/>
        <v>1176.6304364834984</v>
      </c>
    </row>
    <row r="27" spans="1:11" ht="18">
      <c r="A27" s="58"/>
      <c r="B27" s="20"/>
      <c r="C27" s="20"/>
      <c r="D27" s="20"/>
      <c r="E27" s="20"/>
      <c r="F27" s="20"/>
      <c r="G27" s="20"/>
      <c r="H27" s="20"/>
      <c r="I27" s="20"/>
      <c r="J27" s="69"/>
      <c r="K27" s="69"/>
    </row>
    <row r="30" spans="2:11" ht="18">
      <c r="B30" s="104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2:11" ht="18"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</sheetData>
  <sheetProtection/>
  <mergeCells count="5">
    <mergeCell ref="B2:F2"/>
    <mergeCell ref="A2:A3"/>
    <mergeCell ref="L2:P2"/>
    <mergeCell ref="G2:K2"/>
    <mergeCell ref="A1:P1"/>
  </mergeCells>
  <printOptions horizontalCentered="1"/>
  <pageMargins left="0.2362204724409449" right="0.2362204724409449" top="0.5118110236220472" bottom="0.5118110236220472" header="0.5118110236220472" footer="0.5118110236220472"/>
  <pageSetup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41"/>
  <sheetViews>
    <sheetView view="pageBreakPreview" zoomScale="70" zoomScaleNormal="60" zoomScaleSheetLayoutView="70" zoomScalePageLayoutView="0" workbookViewId="0" topLeftCell="A1">
      <selection activeCell="O35" sqref="O35"/>
    </sheetView>
  </sheetViews>
  <sheetFormatPr defaultColWidth="9.140625" defaultRowHeight="12.75"/>
  <cols>
    <col min="1" max="1" width="23.00390625" style="21" customWidth="1"/>
    <col min="2" max="8" width="11.7109375" style="21" customWidth="1"/>
    <col min="9" max="11" width="13.421875" style="21" customWidth="1"/>
    <col min="12" max="12" width="11.7109375" style="21" customWidth="1"/>
    <col min="13" max="13" width="12.7109375" style="21" bestFit="1" customWidth="1"/>
    <col min="14" max="16" width="13.28125" style="21" customWidth="1"/>
    <col min="17" max="16384" width="9.140625" style="21" customWidth="1"/>
  </cols>
  <sheetData>
    <row r="1" spans="1:16" ht="30" customHeight="1">
      <c r="A1" s="219" t="s">
        <v>135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4.75" customHeight="1">
      <c r="A2" s="218" t="s">
        <v>0</v>
      </c>
      <c r="B2" s="184" t="s">
        <v>81</v>
      </c>
      <c r="C2" s="184"/>
      <c r="D2" s="184"/>
      <c r="E2" s="184"/>
      <c r="F2" s="184"/>
      <c r="G2" s="184" t="s">
        <v>82</v>
      </c>
      <c r="H2" s="184"/>
      <c r="I2" s="184"/>
      <c r="J2" s="184"/>
      <c r="K2" s="184"/>
      <c r="L2" s="184" t="s">
        <v>79</v>
      </c>
      <c r="M2" s="184"/>
      <c r="N2" s="184"/>
      <c r="O2" s="184"/>
      <c r="P2" s="184"/>
    </row>
    <row r="3" spans="1:16" s="23" customFormat="1" ht="26.25" customHeight="1">
      <c r="A3" s="218"/>
      <c r="B3" s="146" t="s">
        <v>112</v>
      </c>
      <c r="C3" s="146" t="s">
        <v>113</v>
      </c>
      <c r="D3" s="146" t="s">
        <v>115</v>
      </c>
      <c r="E3" s="146" t="s">
        <v>121</v>
      </c>
      <c r="F3" s="146" t="s">
        <v>122</v>
      </c>
      <c r="G3" s="146" t="s">
        <v>112</v>
      </c>
      <c r="H3" s="146" t="s">
        <v>113</v>
      </c>
      <c r="I3" s="146" t="s">
        <v>115</v>
      </c>
      <c r="J3" s="146" t="s">
        <v>121</v>
      </c>
      <c r="K3" s="146" t="s">
        <v>122</v>
      </c>
      <c r="L3" s="157" t="s">
        <v>112</v>
      </c>
      <c r="M3" s="157" t="s">
        <v>113</v>
      </c>
      <c r="N3" s="157" t="s">
        <v>115</v>
      </c>
      <c r="O3" s="157" t="s">
        <v>121</v>
      </c>
      <c r="P3" s="157" t="s">
        <v>122</v>
      </c>
    </row>
    <row r="4" spans="1:16" ht="24.75" customHeight="1">
      <c r="A4" s="107" t="s">
        <v>1</v>
      </c>
      <c r="B4" s="7">
        <f>'G Nut U'!C4+'Castor U'!B4+'Niger U'!B4+'Sesamum U'!B4+'Sunflower U'!C4+'Soyabean U'!B4</f>
        <v>1223.5</v>
      </c>
      <c r="C4" s="7">
        <f>'G Nut U'!D4+'Castor U'!C4+'Niger U'!C4+'Sesamum U'!C4+'Sunflower U'!D4+'Soyabean U'!C4</f>
        <v>1232.6293733681462</v>
      </c>
      <c r="D4" s="7">
        <f>'G Nut U'!E4+'Castor U'!D4+'Niger U'!D4+'Sesamum U'!D4+'Sunflower U'!E4+'Soyabean U'!D4</f>
        <v>956</v>
      </c>
      <c r="E4" s="7">
        <f>'G Nut U'!F4+'Castor U'!E4+'Niger U'!E4+'Sesamum U'!E4+'Sunflower U'!F4+'Soyabean U'!E4</f>
        <v>801</v>
      </c>
      <c r="F4" s="7">
        <f>'G Nut U'!G4+'Castor U'!F4+'Niger U'!F4+'Sesamum U'!F4+'Sunflower U'!G4+'Soyabean U'!F4</f>
        <v>1047</v>
      </c>
      <c r="G4" s="7">
        <f>'G Nut U'!H4+'Castor U'!G4+'Niger U'!G4+'Sesamum U'!G4+'Sunflower U'!H4+'Soyabean U'!G4</f>
        <v>626.9</v>
      </c>
      <c r="H4" s="7">
        <f>'G Nut U'!I4+'Castor U'!H4+'Niger U'!H4+'Sesamum U'!H4+'Sunflower U'!I4+'Soyabean U'!H4</f>
        <v>758.9040118402702</v>
      </c>
      <c r="I4" s="7">
        <f>'G Nut U'!J4+'Castor U'!I4+'Niger U'!I4+'Sesamum U'!I4+'Sunflower U'!J4+'Soyabean U'!I4</f>
        <v>396.15</v>
      </c>
      <c r="J4" s="7">
        <f>'G Nut U'!K4+'Castor U'!J4+'Niger U'!J4+'Sesamum U'!J4+'Sunflower U'!K4+'Soyabean U'!J4</f>
        <v>651</v>
      </c>
      <c r="K4" s="7">
        <f>'G Nut U'!L4+'Castor U'!K4+'Niger U'!K4+'Sesamum U'!K4+'Sunflower U'!L4+'Soyabean U'!K4</f>
        <v>435.224</v>
      </c>
      <c r="L4" s="98">
        <f aca="true" t="shared" si="0" ref="L4:L33">G4/B4*1000</f>
        <v>512.3825091949326</v>
      </c>
      <c r="M4" s="98">
        <f aca="true" t="shared" si="1" ref="M4:M32">H4/C4*1000</f>
        <v>615.678993407867</v>
      </c>
      <c r="N4" s="98">
        <f aca="true" t="shared" si="2" ref="N4:N32">I4/D4*1000</f>
        <v>414.3828451882845</v>
      </c>
      <c r="O4" s="98">
        <f aca="true" t="shared" si="3" ref="O4:P32">J4/E4*1000</f>
        <v>812.7340823970037</v>
      </c>
      <c r="P4" s="98">
        <f t="shared" si="3"/>
        <v>415.6867239732569</v>
      </c>
    </row>
    <row r="5" spans="1:16" ht="24.75" customHeight="1">
      <c r="A5" s="107" t="s">
        <v>33</v>
      </c>
      <c r="B5" s="7">
        <f>'G Nut U'!C7+'Castor U'!B5+'Niger U'!B5+'Sesamum U'!B5+'Sunflower U'!C7+'Soyabean U'!B5</f>
        <v>5.609</v>
      </c>
      <c r="C5" s="7">
        <f>'G Nut U'!D7+'Castor U'!C5+'Niger U'!C5+'Sesamum U'!C5+'Sunflower U'!D7+'Soyabean U'!C5</f>
        <v>5.18</v>
      </c>
      <c r="D5" s="7">
        <f>'G Nut U'!E7+'Castor U'!D5+'Niger U'!D5+'Sesamum U'!D5+'Sunflower U'!E7+'Soyabean U'!D5</f>
        <v>5.53</v>
      </c>
      <c r="E5" s="7">
        <f>'G Nut U'!F7+'Castor U'!E5+'Niger U'!E5+'Sesamum U'!E5+'Sunflower U'!F7+'Soyabean U'!E5</f>
        <v>5.778</v>
      </c>
      <c r="F5" s="7">
        <f>'G Nut U'!G7+'Castor U'!F5+'Niger U'!F5+'Sesamum U'!F5+'Sunflower U'!G7+'Soyabean U'!F5</f>
        <v>6.908</v>
      </c>
      <c r="G5" s="7">
        <f>'G Nut U'!H7+'Castor U'!G5+'Niger U'!G5+'Sesamum U'!G5+'Sunflower U'!H7+'Soyabean U'!G5</f>
        <v>6.652</v>
      </c>
      <c r="H5" s="7">
        <f>'G Nut U'!I7+'Castor U'!H5+'Niger U'!H5+'Sesamum U'!H5+'Sunflower U'!I7+'Soyabean U'!H5</f>
        <v>5.550000000000001</v>
      </c>
      <c r="I5" s="7">
        <f>'G Nut U'!J7+'Castor U'!I5+'Niger U'!I5+'Sesamum U'!I5+'Sunflower U'!J7+'Soyabean U'!I5</f>
        <v>4.130000000000001</v>
      </c>
      <c r="J5" s="7">
        <f>'G Nut U'!K7+'Castor U'!J5+'Niger U'!J5+'Sesamum U'!J5+'Sunflower U'!K7+'Soyabean U'!J5</f>
        <v>4.561</v>
      </c>
      <c r="K5" s="7">
        <f>'G Nut U'!L7+'Castor U'!K5+'Niger U'!K5+'Sesamum U'!K5+'Sunflower U'!L7+'Soyabean U'!K5</f>
        <v>7.776</v>
      </c>
      <c r="L5" s="98">
        <f t="shared" si="0"/>
        <v>1185.9511499376003</v>
      </c>
      <c r="M5" s="98">
        <f t="shared" si="1"/>
        <v>1071.4285714285716</v>
      </c>
      <c r="N5" s="98">
        <f t="shared" si="2"/>
        <v>746.8354430379748</v>
      </c>
      <c r="O5" s="98">
        <f t="shared" si="3"/>
        <v>789.373485635168</v>
      </c>
      <c r="P5" s="98">
        <f t="shared" si="3"/>
        <v>1125.651418645049</v>
      </c>
    </row>
    <row r="6" spans="1:16" ht="24.75" customHeight="1">
      <c r="A6" s="107" t="s">
        <v>29</v>
      </c>
      <c r="B6" s="7">
        <f>'Castor U'!B6+'Niger U'!B6+'Sesamum U'!B6</f>
        <v>19.98</v>
      </c>
      <c r="C6" s="7">
        <f>'Castor U'!C6+'Niger U'!C6+'Sesamum U'!C6</f>
        <v>18.979</v>
      </c>
      <c r="D6" s="7">
        <f>'Castor U'!D6+'Niger U'!D6+'Sesamum U'!D6</f>
        <v>20.259999999999998</v>
      </c>
      <c r="E6" s="7">
        <f>'Castor U'!E6+'Niger U'!E6+'Sesamum U'!E6</f>
        <v>19.185</v>
      </c>
      <c r="F6" s="7">
        <f>'Castor U'!F6+'Niger U'!F6+'Sesamum U'!F6</f>
        <v>18.593</v>
      </c>
      <c r="G6" s="7">
        <f>'Castor U'!G6+'Niger U'!G6+'Sesamum U'!G6</f>
        <v>12.549999999999999</v>
      </c>
      <c r="H6" s="7">
        <f>'Castor U'!H6+'Niger U'!H6+'Sesamum U'!H6</f>
        <v>13.510000000000002</v>
      </c>
      <c r="I6" s="7">
        <f>'Castor U'!I6+'Niger U'!I6+'Sesamum U'!I6</f>
        <v>14.22</v>
      </c>
      <c r="J6" s="7">
        <f>'Castor U'!J6+'Niger U'!J6+'Sesamum U'!J6</f>
        <v>12.355</v>
      </c>
      <c r="K6" s="7">
        <f>'Castor U'!K6+'Niger U'!K6+'Sesamum U'!K6</f>
        <v>12.051</v>
      </c>
      <c r="L6" s="98">
        <f t="shared" si="0"/>
        <v>628.128128128128</v>
      </c>
      <c r="M6" s="98">
        <f t="shared" si="1"/>
        <v>711.839401443701</v>
      </c>
      <c r="N6" s="98">
        <f t="shared" si="2"/>
        <v>701.8756169792696</v>
      </c>
      <c r="O6" s="98">
        <f t="shared" si="3"/>
        <v>643.9927026322648</v>
      </c>
      <c r="P6" s="98">
        <f t="shared" si="3"/>
        <v>648.1471521540365</v>
      </c>
    </row>
    <row r="7" spans="1:16" ht="24.75" customHeight="1">
      <c r="A7" s="107" t="s">
        <v>41</v>
      </c>
      <c r="B7" s="7">
        <f>'G Nut U'!C8+'Castor U'!B7+'Sesamum U'!B7+'Sunflower U'!C8</f>
        <v>5.109999999999999</v>
      </c>
      <c r="C7" s="7">
        <f>'G Nut U'!D8+'Castor U'!C7+'Sesamum U'!C7+'Sunflower U'!D8</f>
        <v>7.26</v>
      </c>
      <c r="D7" s="7">
        <f>'G Nut U'!E8+'Castor U'!D7+'Sesamum U'!D7+'Sunflower U'!E8</f>
        <v>5.82</v>
      </c>
      <c r="E7" s="7">
        <f>'G Nut U'!F8+'Castor U'!E7+'Sesamum U'!E7+'Sunflower U'!F8</f>
        <v>5.194</v>
      </c>
      <c r="F7" s="7">
        <f>'G Nut U'!G8+'Castor U'!F7+'Sesamum U'!F7+'Sunflower U'!G8</f>
        <v>5.168</v>
      </c>
      <c r="G7" s="7">
        <f>'G Nut U'!H8+'Castor U'!G7+'Sesamum U'!G7+'Sunflower U'!H8</f>
        <v>5.58</v>
      </c>
      <c r="H7" s="7">
        <f>'G Nut U'!I8+'Castor U'!H7+'Sesamum U'!H7+'Sunflower U'!I8</f>
        <v>7.109999999999999</v>
      </c>
      <c r="I7" s="7">
        <f>'G Nut U'!J8+'Castor U'!I7+'Sesamum U'!I7+'Sunflower U'!J8</f>
        <v>6.23</v>
      </c>
      <c r="J7" s="7">
        <f>'G Nut U'!K8+'Castor U'!J7+'Sesamum U'!J7+'Sunflower U'!K8</f>
        <v>5.453</v>
      </c>
      <c r="K7" s="7">
        <f>'G Nut U'!L8+'Castor U'!K7+'Sesamum U'!K7+'Sunflower U'!L8</f>
        <v>5.529</v>
      </c>
      <c r="L7" s="98">
        <f t="shared" si="0"/>
        <v>1091.976516634051</v>
      </c>
      <c r="M7" s="98">
        <f t="shared" si="1"/>
        <v>979.3388429752066</v>
      </c>
      <c r="N7" s="98">
        <f t="shared" si="2"/>
        <v>1070.446735395189</v>
      </c>
      <c r="O7" s="98">
        <f t="shared" si="3"/>
        <v>1049.8652291105122</v>
      </c>
      <c r="P7" s="98">
        <f t="shared" si="3"/>
        <v>1069.8529411764705</v>
      </c>
    </row>
    <row r="8" spans="1:16" ht="24.75" customHeight="1">
      <c r="A8" s="107" t="s">
        <v>6</v>
      </c>
      <c r="B8" s="7">
        <f>'G Nut U'!C9+'Castor U'!B8+'Niger U'!B7+'Sesamum U'!B8+'Sunflower U'!C11+'Soyabean U'!B6</f>
        <v>215.6</v>
      </c>
      <c r="C8" s="7">
        <f>'G Nut U'!D9+'Castor U'!C8+'Niger U'!C7+'Sesamum U'!C8+'Sunflower U'!D11+'Soyabean U'!C6</f>
        <v>215.79999999999998</v>
      </c>
      <c r="D8" s="7">
        <f>'G Nut U'!E9+'Castor U'!D8+'Niger U'!D7+'Sesamum U'!D8+'Sunflower U'!E11+'Soyabean U'!D6</f>
        <v>213.7</v>
      </c>
      <c r="E8" s="7">
        <f>'G Nut U'!F9+'Castor U'!E8+'Niger U'!E7+'Sesamum U'!E8+'Sunflower U'!F11+'Soyabean U'!E6</f>
        <v>227.7</v>
      </c>
      <c r="F8" s="7">
        <f>'G Nut U'!G9+'Castor U'!F8+'Niger U'!F7+'Sesamum U'!F8+'Sunflower U'!G11+'Soyabean U'!F6</f>
        <v>214.89999999999998</v>
      </c>
      <c r="G8" s="7">
        <f>'G Nut U'!H9+'Castor U'!G8+'Niger U'!G7+'Sesamum U'!G8+'Sunflower U'!H11+'Soyabean U'!G6</f>
        <v>180.2</v>
      </c>
      <c r="H8" s="7">
        <f>'G Nut U'!I9+'Castor U'!H8+'Niger U'!H7+'Sesamum U'!H8+'Sunflower U'!I11+'Soyabean U'!H6</f>
        <v>147.89999999999998</v>
      </c>
      <c r="I8" s="7">
        <f>'G Nut U'!J9+'Castor U'!I8+'Niger U'!I7+'Sesamum U'!I8+'Sunflower U'!J11+'Soyabean U'!I6</f>
        <v>135.44</v>
      </c>
      <c r="J8" s="7">
        <f>'G Nut U'!K9+'Castor U'!J8+'Niger U'!J7+'Sesamum U'!J8+'Sunflower U'!K11+'Soyabean U'!J6</f>
        <v>119.10000000000001</v>
      </c>
      <c r="K8" s="7">
        <f>'G Nut U'!L9+'Castor U'!K8+'Niger U'!K7+'Sesamum U'!K8+'Sunflower U'!L11+'Soyabean U'!K6</f>
        <v>139.39999999999998</v>
      </c>
      <c r="L8" s="98">
        <f t="shared" si="0"/>
        <v>835.8070500927644</v>
      </c>
      <c r="M8" s="98">
        <f t="shared" si="1"/>
        <v>685.3568118628359</v>
      </c>
      <c r="N8" s="98">
        <f t="shared" si="2"/>
        <v>633.7856808610202</v>
      </c>
      <c r="O8" s="98">
        <f t="shared" si="3"/>
        <v>523.0566534914361</v>
      </c>
      <c r="P8" s="98">
        <f t="shared" si="3"/>
        <v>648.6738017682643</v>
      </c>
    </row>
    <row r="9" spans="1:16" ht="24.75" customHeight="1">
      <c r="A9" s="107" t="s">
        <v>7</v>
      </c>
      <c r="B9" s="7">
        <f>'G Nut U'!C10</f>
        <v>0.53</v>
      </c>
      <c r="C9" s="7">
        <f>'G Nut U'!D10</f>
        <v>0.39</v>
      </c>
      <c r="D9" s="7">
        <f>'G Nut U'!E10</f>
        <v>0.36</v>
      </c>
      <c r="E9" s="7">
        <f>'G Nut U'!F10</f>
        <v>0.361</v>
      </c>
      <c r="F9" s="7">
        <f>'G Nut U'!G10</f>
        <v>0.336</v>
      </c>
      <c r="G9" s="7">
        <f>'G Nut U'!H10</f>
        <v>1.346</v>
      </c>
      <c r="H9" s="7">
        <f>'G Nut U'!I10</f>
        <v>0.95</v>
      </c>
      <c r="I9" s="7">
        <f>'G Nut U'!J10</f>
        <v>0.73</v>
      </c>
      <c r="J9" s="7">
        <f>'G Nut U'!K10</f>
        <v>0.737</v>
      </c>
      <c r="K9" s="7">
        <f>'G Nut U'!L10</f>
        <v>0.859</v>
      </c>
      <c r="L9" s="98">
        <f t="shared" si="0"/>
        <v>2539.6226415094343</v>
      </c>
      <c r="M9" s="98">
        <f t="shared" si="1"/>
        <v>2435.8974358974356</v>
      </c>
      <c r="N9" s="98">
        <f t="shared" si="2"/>
        <v>2027.7777777777776</v>
      </c>
      <c r="O9" s="98">
        <f t="shared" si="3"/>
        <v>2041.5512465373959</v>
      </c>
      <c r="P9" s="98">
        <f t="shared" si="3"/>
        <v>2556.547619047619</v>
      </c>
    </row>
    <row r="10" spans="1:16" ht="24.75" customHeight="1">
      <c r="A10" s="107" t="s">
        <v>8</v>
      </c>
      <c r="B10" s="7">
        <f>'G Nut U'!C13+'Castor U'!B9+'Niger U'!B8+'Sesamum U'!B9+'Soyabean U'!B7</f>
        <v>2156</v>
      </c>
      <c r="C10" s="7">
        <f>'G Nut U'!D13+'Castor U'!C9+'Niger U'!C8+'Sesamum U'!C9+'Soyabean U'!C7</f>
        <v>2687</v>
      </c>
      <c r="D10" s="7">
        <f>'G Nut U'!E13+'Castor U'!D9+'Niger U'!D8+'Sesamum U'!D9+'Soyabean U'!D7</f>
        <v>2305.56</v>
      </c>
      <c r="E10" s="7">
        <f>'G Nut U'!F13+'Castor U'!E9+'Niger U'!E8+'Sesamum U'!E9+'Soyabean U'!E7</f>
        <v>2320</v>
      </c>
      <c r="F10" s="7">
        <f>'G Nut U'!G13+'Castor U'!F9+'Niger U'!F8+'Sesamum U'!F9+'Soyabean U'!F7</f>
        <v>2512</v>
      </c>
      <c r="G10" s="7">
        <f>'G Nut U'!H13+'Castor U'!G9+'Niger U'!G8+'Sesamum U'!G9+'Soyabean U'!G7</f>
        <v>2183</v>
      </c>
      <c r="H10" s="7">
        <f>'G Nut U'!I13+'Castor U'!H9+'Niger U'!H8+'Sesamum U'!H9+'Soyabean U'!H7</f>
        <v>6205.426</v>
      </c>
      <c r="I10" s="7">
        <f>'G Nut U'!J13+'Castor U'!I9+'Niger U'!I8+'Sesamum U'!I9+'Soyabean U'!I7</f>
        <v>4523.92</v>
      </c>
      <c r="J10" s="7">
        <f>'G Nut U'!K13+'Castor U'!J9+'Niger U'!J8+'Sesamum U'!J9+'Soyabean U'!J7</f>
        <v>3777.0952</v>
      </c>
      <c r="K10" s="7">
        <f>'G Nut U'!L13+'Castor U'!K9+'Niger U'!K8+'Sesamum U'!K9+'Soyabean U'!K7</f>
        <v>4332.32</v>
      </c>
      <c r="L10" s="98">
        <f t="shared" si="0"/>
        <v>1012.5231910946197</v>
      </c>
      <c r="M10" s="98">
        <f t="shared" si="1"/>
        <v>2309.4253814663193</v>
      </c>
      <c r="N10" s="98">
        <f t="shared" si="2"/>
        <v>1962.178386162147</v>
      </c>
      <c r="O10" s="98">
        <f t="shared" si="3"/>
        <v>1628.058275862069</v>
      </c>
      <c r="P10" s="98">
        <f t="shared" si="3"/>
        <v>1724.6496815286623</v>
      </c>
    </row>
    <row r="11" spans="1:16" ht="24.75" customHeight="1">
      <c r="A11" s="107" t="s">
        <v>35</v>
      </c>
      <c r="B11" s="7">
        <f>'G Nut U'!C16+'Castor U'!B10+'Sesamum U'!B10+'Sunflower U'!C14</f>
        <v>21.2</v>
      </c>
      <c r="C11" s="7">
        <f>'G Nut U'!D16+'Castor U'!C10+'Sesamum U'!C10+'Sunflower U'!D14</f>
        <v>12.1</v>
      </c>
      <c r="D11" s="7">
        <f>'G Nut U'!E16+'Castor U'!D10+'Sesamum U'!D10+'Sunflower U'!E14</f>
        <v>17.6</v>
      </c>
      <c r="E11" s="7">
        <f>'G Nut U'!F16+'Castor U'!E10+'Sesamum U'!E10+'Sunflower U'!F14</f>
        <v>17.2</v>
      </c>
      <c r="F11" s="7">
        <f>'G Nut U'!G16+'Castor U'!F10+'Sesamum U'!F10+'Sunflower U'!G14</f>
        <v>16.6</v>
      </c>
      <c r="G11" s="7">
        <f>'G Nut U'!H16+'Castor U'!G10+'Sesamum U'!G10+'Sunflower U'!H14</f>
        <v>31.1</v>
      </c>
      <c r="H11" s="7">
        <f>'G Nut U'!I16+'Castor U'!H10+'Sesamum U'!H10+'Sunflower U'!I14</f>
        <v>19</v>
      </c>
      <c r="I11" s="7">
        <f>'G Nut U'!J16+'Castor U'!I10+'Sesamum U'!I10+'Sunflower U'!J14</f>
        <v>37.4</v>
      </c>
      <c r="J11" s="7">
        <f>'G Nut U'!K16+'Castor U'!J10+'Sesamum U'!J10+'Sunflower U'!K14</f>
        <v>24.664</v>
      </c>
      <c r="K11" s="7">
        <f>'G Nut U'!L16+'Castor U'!K10+'Sesamum U'!K10+'Sunflower U'!L14</f>
        <v>19.53</v>
      </c>
      <c r="L11" s="98">
        <f t="shared" si="0"/>
        <v>1466.9811320754718</v>
      </c>
      <c r="M11" s="98">
        <f t="shared" si="1"/>
        <v>1570.2479338842977</v>
      </c>
      <c r="N11" s="98">
        <f t="shared" si="2"/>
        <v>2124.9999999999995</v>
      </c>
      <c r="O11" s="98">
        <f t="shared" si="3"/>
        <v>1433.9534883720933</v>
      </c>
      <c r="P11" s="98">
        <f t="shared" si="3"/>
        <v>1176.5060240963855</v>
      </c>
    </row>
    <row r="12" spans="1:16" ht="24.75" customHeight="1">
      <c r="A12" s="107" t="s">
        <v>46</v>
      </c>
      <c r="B12" s="7">
        <f>'G Nut U'!C17+'Sesamum U'!B11+'Soyabean U'!B8</f>
        <v>3.3619999999999997</v>
      </c>
      <c r="C12" s="7">
        <f>'G Nut U'!D17+'Sesamum U'!C11+'Soyabean U'!C8</f>
        <v>2.52</v>
      </c>
      <c r="D12" s="7">
        <f>'G Nut U'!E17+'Sesamum U'!D11+'Soyabean U'!D8</f>
        <v>2.7499999999999996</v>
      </c>
      <c r="E12" s="7">
        <f>'G Nut U'!F17+'Sesamum U'!E11+'Soyabean U'!E8</f>
        <v>3.156</v>
      </c>
      <c r="F12" s="7">
        <f>'G Nut U'!G17+'Sesamum U'!F11+'Soyabean U'!F8</f>
        <v>2.9509999999999996</v>
      </c>
      <c r="G12" s="7">
        <f>'G Nut U'!H17+'Sesamum U'!G11+'Soyabean U'!G8</f>
        <v>1.88</v>
      </c>
      <c r="H12" s="7">
        <f>'G Nut U'!I17+'Sesamum U'!H11+'Soyabean U'!H8</f>
        <v>1.55</v>
      </c>
      <c r="I12" s="7">
        <f>'G Nut U'!J17+'Sesamum U'!I11+'Soyabean U'!I8</f>
        <v>1.69</v>
      </c>
      <c r="J12" s="7">
        <f>'G Nut U'!K17+'Sesamum U'!J11+'Soyabean U'!J8</f>
        <v>1.8650000000000002</v>
      </c>
      <c r="K12" s="7">
        <f>'G Nut U'!L17+'Sesamum U'!K11+'Soyabean U'!K8</f>
        <v>1.459</v>
      </c>
      <c r="L12" s="98">
        <f t="shared" si="0"/>
        <v>559.1909577632363</v>
      </c>
      <c r="M12" s="98">
        <f t="shared" si="1"/>
        <v>615.0793650793651</v>
      </c>
      <c r="N12" s="98">
        <f t="shared" si="2"/>
        <v>614.5454545454546</v>
      </c>
      <c r="O12" s="98">
        <f t="shared" si="3"/>
        <v>590.937896070976</v>
      </c>
      <c r="P12" s="98">
        <f t="shared" si="3"/>
        <v>494.40867502541516</v>
      </c>
    </row>
    <row r="13" spans="1:16" ht="24.75" customHeight="1">
      <c r="A13" s="107" t="s">
        <v>42</v>
      </c>
      <c r="B13" s="7">
        <f>'G Nut U'!C18+'Niger U'!B9+'Sesamum U'!B12</f>
        <v>4.79</v>
      </c>
      <c r="C13" s="7">
        <f>'G Nut U'!D18+'Niger U'!C9+'Sesamum U'!C12</f>
        <v>5.069999999999999</v>
      </c>
      <c r="D13" s="7">
        <f>'G Nut U'!E18+'Niger U'!D9+'Sesamum U'!D12</f>
        <v>3.8</v>
      </c>
      <c r="E13" s="7">
        <f>'G Nut U'!F18+'Niger U'!E9+'Sesamum U'!E12</f>
        <v>3.739</v>
      </c>
      <c r="F13" s="7">
        <f>'G Nut U'!G18+'Niger U'!F9+'Sesamum U'!F12</f>
        <v>6.981</v>
      </c>
      <c r="G13" s="7">
        <f>'G Nut U'!H18+'Niger U'!G9+'Sesamum U'!G12</f>
        <v>2.09</v>
      </c>
      <c r="H13" s="7">
        <f>'G Nut U'!I18+'Niger U'!H9+'Sesamum U'!H12</f>
        <v>2.2399999999999998</v>
      </c>
      <c r="I13" s="7">
        <f>'G Nut U'!J18+'Niger U'!I9+'Sesamum U'!I12</f>
        <v>1.57</v>
      </c>
      <c r="J13" s="7">
        <f>'G Nut U'!K18+'Niger U'!J9+'Sesamum U'!J12</f>
        <v>1.5325</v>
      </c>
      <c r="K13" s="7">
        <f>'G Nut U'!L18+'Niger U'!K9+'Sesamum U'!K12</f>
        <v>3.544</v>
      </c>
      <c r="L13" s="98">
        <f t="shared" si="0"/>
        <v>436.3256784968684</v>
      </c>
      <c r="M13" s="98">
        <f t="shared" si="1"/>
        <v>441.8145956607495</v>
      </c>
      <c r="N13" s="98">
        <f t="shared" si="2"/>
        <v>413.1578947368422</v>
      </c>
      <c r="O13" s="98">
        <f t="shared" si="3"/>
        <v>409.86894891682266</v>
      </c>
      <c r="P13" s="98">
        <f t="shared" si="3"/>
        <v>507.6636585016473</v>
      </c>
    </row>
    <row r="14" spans="1:16" ht="24.75" customHeight="1">
      <c r="A14" s="107" t="s">
        <v>51</v>
      </c>
      <c r="B14" s="7">
        <f>'G Nut U'!C19+'Castor U'!B11+'Niger U'!B10+'Sesamum U'!B13+'Sunflower U'!C15+'Soyabean U'!B9</f>
        <v>37.93</v>
      </c>
      <c r="C14" s="7">
        <f>'G Nut U'!D19+'Castor U'!C11+'Niger U'!C10+'Sesamum U'!C13+'Sunflower U'!D15+'Soyabean U'!C9</f>
        <v>32.834</v>
      </c>
      <c r="D14" s="7">
        <f>'G Nut U'!E19+'Castor U'!D11+'Niger U'!D10+'Sesamum U'!D13+'Sunflower U'!E15+'Soyabean U'!D9</f>
        <v>36.239999999999995</v>
      </c>
      <c r="E14" s="7">
        <f>'G Nut U'!F19+'Castor U'!E11+'Niger U'!E10+'Sesamum U'!E13+'Sunflower U'!F15+'Soyabean U'!E9</f>
        <v>37.736000000000004</v>
      </c>
      <c r="F14" s="7">
        <f>'G Nut U'!G19+'Castor U'!F11+'Niger U'!F10+'Sesamum U'!F13+'Sunflower U'!G15+'Soyabean U'!F9</f>
        <v>46.792</v>
      </c>
      <c r="G14" s="7">
        <f>'G Nut U'!H19+'Castor U'!G11+'Niger U'!G10+'Sesamum U'!G13+'Sunflower U'!H15+'Soyabean U'!G9</f>
        <v>34.330000000000005</v>
      </c>
      <c r="H14" s="7">
        <f>'G Nut U'!I19+'Castor U'!H11+'Niger U'!H10+'Sesamum U'!H13+'Sunflower U'!I15+'Soyabean U'!H9</f>
        <v>31.631</v>
      </c>
      <c r="I14" s="7">
        <f>'G Nut U'!J19+'Castor U'!I11+'Niger U'!I10+'Sesamum U'!I13+'Sunflower U'!J15+'Soyabean U'!I9</f>
        <v>30.519999999999996</v>
      </c>
      <c r="J14" s="7">
        <f>'G Nut U'!K19+'Castor U'!J11+'Niger U'!J10+'Sesamum U'!J13+'Sunflower U'!K15+'Soyabean U'!J9</f>
        <v>26.405899999999992</v>
      </c>
      <c r="K14" s="7">
        <f>'G Nut U'!L19+'Castor U'!K11+'Niger U'!K10+'Sesamum U'!K13+'Sunflower U'!L15+'Soyabean U'!K9</f>
        <v>40.440000000000005</v>
      </c>
      <c r="L14" s="98">
        <f t="shared" si="0"/>
        <v>905.0883205905617</v>
      </c>
      <c r="M14" s="98">
        <f t="shared" si="1"/>
        <v>963.3611500274105</v>
      </c>
      <c r="N14" s="98">
        <f t="shared" si="2"/>
        <v>842.1633554083885</v>
      </c>
      <c r="O14" s="98">
        <f t="shared" si="3"/>
        <v>699.7535509857958</v>
      </c>
      <c r="P14" s="98">
        <f t="shared" si="3"/>
        <v>864.250299196444</v>
      </c>
    </row>
    <row r="15" spans="1:16" ht="24.75" customHeight="1">
      <c r="A15" s="107" t="s">
        <v>11</v>
      </c>
      <c r="B15" s="7">
        <f>'G Nut U'!C20+'Castor U'!B12+'Niger U'!B11+'Sesamum U'!B14+'Sunflower U'!C18+'Soyabean U'!B10</f>
        <v>882</v>
      </c>
      <c r="C15" s="7">
        <f>'G Nut U'!D20+'Castor U'!C12+'Niger U'!C11+'Sesamum U'!C14+'Sunflower U'!D18+'Soyabean U'!C10</f>
        <v>946</v>
      </c>
      <c r="D15" s="7">
        <f>'G Nut U'!E20+'Castor U'!D12+'Niger U'!D11+'Sesamum U'!D14+'Sunflower U'!E18+'Soyabean U'!D10</f>
        <v>957</v>
      </c>
      <c r="E15" s="7">
        <f>'G Nut U'!F20+'Castor U'!E12+'Niger U'!E11+'Sesamum U'!E14+'Sunflower U'!F18+'Soyabean U'!E10</f>
        <v>856</v>
      </c>
      <c r="F15" s="7">
        <f>'G Nut U'!G20+'Castor U'!F12+'Niger U'!F11+'Sesamum U'!F14+'Sunflower U'!G18+'Soyabean U'!F10</f>
        <v>999</v>
      </c>
      <c r="G15" s="7">
        <f>'G Nut U'!H20+'Castor U'!G12+'Niger U'!G11+'Sesamum U'!G14+'Sunflower U'!H18+'Soyabean U'!G10</f>
        <v>560.252</v>
      </c>
      <c r="H15" s="7">
        <f>'G Nut U'!I20+'Castor U'!H12+'Niger U'!H11+'Sesamum U'!H14+'Sunflower U'!I18+'Soyabean U'!H10</f>
        <v>815</v>
      </c>
      <c r="I15" s="7">
        <f>'G Nut U'!J20+'Castor U'!I12+'Niger U'!I11+'Sesamum U'!I14+'Sunflower U'!J18+'Soyabean U'!I10</f>
        <v>656</v>
      </c>
      <c r="J15" s="7">
        <f>'G Nut U'!K20+'Castor U'!J12+'Niger U'!J11+'Sesamum U'!J14+'Sunflower U'!K18+'Soyabean U'!J10</f>
        <v>496</v>
      </c>
      <c r="K15" s="7">
        <f>'G Nut U'!L20+'Castor U'!K12+'Niger U'!K11+'Sesamum U'!K14+'Sunflower U'!L18+'Soyabean U'!K10</f>
        <v>591</v>
      </c>
      <c r="L15" s="98">
        <f t="shared" si="0"/>
        <v>635.2063492063492</v>
      </c>
      <c r="M15" s="98">
        <f t="shared" si="1"/>
        <v>861.522198731501</v>
      </c>
      <c r="N15" s="98">
        <f t="shared" si="2"/>
        <v>685.4754440961337</v>
      </c>
      <c r="O15" s="98">
        <f t="shared" si="3"/>
        <v>579.4392523364486</v>
      </c>
      <c r="P15" s="98">
        <f t="shared" si="3"/>
        <v>591.5915915915916</v>
      </c>
    </row>
    <row r="16" spans="1:16" ht="24.75" customHeight="1">
      <c r="A16" s="107" t="s">
        <v>12</v>
      </c>
      <c r="B16" s="7">
        <f>'G Nut U'!C23+'Sesamum U'!B15</f>
        <v>1.0150000000000001</v>
      </c>
      <c r="C16" s="7">
        <f>'G Nut U'!D23+'Sesamum U'!C15</f>
        <v>0.55</v>
      </c>
      <c r="D16" s="7">
        <f>'G Nut U'!E23+'Sesamum U'!D15</f>
        <v>0.73</v>
      </c>
      <c r="E16" s="7">
        <f>'G Nut U'!F23+'Sesamum U'!E15</f>
        <v>0.636</v>
      </c>
      <c r="F16" s="7">
        <f>'G Nut U'!G23+'Sesamum U'!F15</f>
        <v>0.5369999999999999</v>
      </c>
      <c r="G16" s="7">
        <f>'G Nut U'!H23+'Sesamum U'!G15</f>
        <v>1.06</v>
      </c>
      <c r="H16" s="7">
        <f>'G Nut U'!I23+'Sesamum U'!H15</f>
        <v>0.43999999999999995</v>
      </c>
      <c r="I16" s="7">
        <f>'G Nut U'!J23+'Sesamum U'!I15</f>
        <v>0.76</v>
      </c>
      <c r="J16" s="7">
        <f>'G Nut U'!K23+'Sesamum U'!J15</f>
        <v>0.667</v>
      </c>
      <c r="K16" s="7">
        <f>'G Nut U'!L23+'Sesamum U'!K15</f>
        <v>0.565</v>
      </c>
      <c r="L16" s="98">
        <f t="shared" si="0"/>
        <v>1044.3349753694579</v>
      </c>
      <c r="M16" s="98">
        <f t="shared" si="1"/>
        <v>799.9999999999998</v>
      </c>
      <c r="N16" s="98">
        <f t="shared" si="2"/>
        <v>1041.0958904109589</v>
      </c>
      <c r="O16" s="98">
        <f t="shared" si="3"/>
        <v>1048.74213836478</v>
      </c>
      <c r="P16" s="98">
        <f t="shared" si="3"/>
        <v>1052.1415270018622</v>
      </c>
    </row>
    <row r="17" spans="1:16" ht="24.75" customHeight="1">
      <c r="A17" s="107" t="s">
        <v>13</v>
      </c>
      <c r="B17" s="7">
        <f>'G Nut U'!C26+'Castor U'!B13+'Niger U'!B12+'Sesamum U'!B16+'Sunflower U'!C21+'Soyabean U'!B11</f>
        <v>6640</v>
      </c>
      <c r="C17" s="7">
        <f>'G Nut U'!D26+'Castor U'!C13+'Niger U'!C12+'Sesamum U'!C16+'Sunflower U'!D21+'Soyabean U'!C11</f>
        <v>6859.400000000001</v>
      </c>
      <c r="D17" s="7">
        <f>'G Nut U'!E26+'Castor U'!D13+'Niger U'!D12+'Sesamum U'!D16+'Sunflower U'!E21+'Soyabean U'!D11</f>
        <v>6213.1</v>
      </c>
      <c r="E17" s="7">
        <f>'G Nut U'!F26+'Castor U'!E13+'Niger U'!E12+'Sesamum U'!E16+'Sunflower U'!F21+'Soyabean U'!E11</f>
        <v>6593</v>
      </c>
      <c r="F17" s="7">
        <f>'G Nut U'!G26+'Castor U'!F13+'Niger U'!F12+'Sesamum U'!F16+'Sunflower U'!G21+'Soyabean U'!F11</f>
        <v>6125</v>
      </c>
      <c r="G17" s="7">
        <f>'G Nut U'!H26+'Castor U'!G13+'Niger U'!G12+'Sesamum U'!G16+'Sunflower U'!H21+'Soyabean U'!G11</f>
        <v>8299.42</v>
      </c>
      <c r="H17" s="7">
        <f>'G Nut U'!I26+'Castor U'!H13+'Niger U'!H12+'Sesamum U'!H16+'Sunflower U'!I21+'Soyabean U'!H11</f>
        <v>5735.4691</v>
      </c>
      <c r="I17" s="7">
        <f>'G Nut U'!J26+'Castor U'!I13+'Niger U'!I12+'Sesamum U'!I16+'Sunflower U'!J21+'Soyabean U'!I11</f>
        <v>6926</v>
      </c>
      <c r="J17" s="7">
        <f>'G Nut U'!K26+'Castor U'!J13+'Niger U'!J12+'Sesamum U'!J16+'Sunflower U'!K21+'Soyabean U'!J11</f>
        <v>5445.022400000001</v>
      </c>
      <c r="K17" s="7">
        <f>'G Nut U'!L26+'Castor U'!K13+'Niger U'!K12+'Sesamum U'!K16+'Sunflower U'!L21+'Soyabean U'!K11</f>
        <v>7226</v>
      </c>
      <c r="L17" s="98">
        <f t="shared" si="0"/>
        <v>1249.9126506024097</v>
      </c>
      <c r="M17" s="98">
        <f t="shared" si="1"/>
        <v>836.1473452488556</v>
      </c>
      <c r="N17" s="98">
        <f t="shared" si="2"/>
        <v>1114.7414334229288</v>
      </c>
      <c r="O17" s="98">
        <f t="shared" si="3"/>
        <v>825.8793265584712</v>
      </c>
      <c r="P17" s="98">
        <f t="shared" si="3"/>
        <v>1179.7551020408164</v>
      </c>
    </row>
    <row r="18" spans="1:16" ht="24.75" customHeight="1">
      <c r="A18" s="107" t="s">
        <v>14</v>
      </c>
      <c r="B18" s="7">
        <f>'G Nut U'!C27+'Castor U'!B14+'Niger U'!B13+'Sesamum U'!B17+'Sunflower U'!C24+'Soyabean U'!B12</f>
        <v>3590</v>
      </c>
      <c r="C18" s="7">
        <f>'G Nut U'!D27+'Castor U'!C14+'Niger U'!C13+'Sesamum U'!C17+'Sunflower U'!D24+'Soyabean U'!C12</f>
        <v>3892</v>
      </c>
      <c r="D18" s="7">
        <f>'G Nut U'!E27+'Castor U'!D14+'Niger U'!D13+'Sesamum U'!D17+'Sunflower U'!E24+'Soyabean U'!D12</f>
        <v>3970</v>
      </c>
      <c r="E18" s="7">
        <f>'G Nut U'!F27+'Castor U'!E14+'Niger U'!E13+'Sesamum U'!E17+'Sunflower U'!F24+'Soyabean U'!E12</f>
        <v>4007</v>
      </c>
      <c r="F18" s="7">
        <f>'G Nut U'!G27+'Castor U'!F14+'Niger U'!F13+'Sesamum U'!F17+'Sunflower U'!G24+'Soyabean U'!F12</f>
        <v>4151.400000000001</v>
      </c>
      <c r="G18" s="7">
        <f>'G Nut U'!H27+'Castor U'!G14+'Niger U'!G13+'Sesamum U'!G17+'Sunflower U'!H24+'Soyabean U'!G12</f>
        <v>4949.769</v>
      </c>
      <c r="H18" s="7">
        <f>'G Nut U'!I27+'Castor U'!H14+'Niger U'!H13+'Sesamum U'!H17+'Sunflower U'!I24+'Soyabean U'!H12</f>
        <v>5099.926420454545</v>
      </c>
      <c r="I18" s="7">
        <f>'G Nut U'!J27+'Castor U'!I14+'Niger U'!I13+'Sesamum U'!I17+'Sunflower U'!J24+'Soyabean U'!I12</f>
        <v>2658.2</v>
      </c>
      <c r="J18" s="7">
        <f>'G Nut U'!K27+'Castor U'!J14+'Niger U'!J13+'Sesamum U'!J17+'Sunflower U'!K24+'Soyabean U'!J12</f>
        <v>2291.0885</v>
      </c>
      <c r="K18" s="7">
        <f>'G Nut U'!L27+'Castor U'!K14+'Niger U'!K13+'Sesamum U'!K17+'Sunflower U'!L24+'Soyabean U'!K12</f>
        <v>4891.7</v>
      </c>
      <c r="L18" s="98">
        <f t="shared" si="0"/>
        <v>1378.76573816156</v>
      </c>
      <c r="M18" s="98">
        <f t="shared" si="1"/>
        <v>1310.3613618845181</v>
      </c>
      <c r="N18" s="98">
        <f t="shared" si="2"/>
        <v>669.5717884130981</v>
      </c>
      <c r="O18" s="98">
        <f t="shared" si="3"/>
        <v>571.7715248315448</v>
      </c>
      <c r="P18" s="98">
        <f t="shared" si="3"/>
        <v>1178.325384207737</v>
      </c>
    </row>
    <row r="19" spans="1:16" ht="24.75" customHeight="1">
      <c r="A19" s="107" t="s">
        <v>37</v>
      </c>
      <c r="B19" s="7">
        <f>'G Nut U'!C30+'Sesamum U'!B18+'Soyabean U'!B13</f>
        <v>7.85</v>
      </c>
      <c r="C19" s="7">
        <f>'G Nut U'!D30+'Sesamum U'!C18+'Soyabean U'!C13</f>
        <v>8.42</v>
      </c>
      <c r="D19" s="7">
        <f>'G Nut U'!E30+'Sesamum U'!D18+'Soyabean U'!D13</f>
        <v>8.42</v>
      </c>
      <c r="E19" s="7">
        <f>'G Nut U'!F30+'Sesamum U'!E18+'Soyabean U'!E13</f>
        <v>5.11</v>
      </c>
      <c r="F19" s="7">
        <f>'G Nut U'!G30+'Sesamum U'!F18+'Soyabean U'!F13</f>
        <v>5.11</v>
      </c>
      <c r="G19" s="7">
        <f>'G Nut U'!H30+'Sesamum U'!G18+'Soyabean U'!G13</f>
        <v>1.33</v>
      </c>
      <c r="H19" s="7">
        <f>'G Nut U'!I30+'Sesamum U'!H18+'Soyabean U'!H13</f>
        <v>7.16</v>
      </c>
      <c r="I19" s="7">
        <f>'G Nut U'!J30+'Sesamum U'!I18+'Soyabean U'!I13</f>
        <v>7.16</v>
      </c>
      <c r="J19" s="7">
        <f>'G Nut U'!K30+'Sesamum U'!J18+'Soyabean U'!J13</f>
        <v>4.28</v>
      </c>
      <c r="K19" s="7">
        <f>'G Nut U'!L30+'Sesamum U'!K18+'Soyabean U'!K13</f>
        <v>4.38</v>
      </c>
      <c r="L19" s="98">
        <f t="shared" si="0"/>
        <v>169.4267515923567</v>
      </c>
      <c r="M19" s="98">
        <f t="shared" si="1"/>
        <v>850.3562945368171</v>
      </c>
      <c r="N19" s="98">
        <f t="shared" si="2"/>
        <v>850.3562945368171</v>
      </c>
      <c r="O19" s="98">
        <f t="shared" si="3"/>
        <v>837.573385518591</v>
      </c>
      <c r="P19" s="98">
        <f t="shared" si="3"/>
        <v>857.1428571428571</v>
      </c>
    </row>
    <row r="20" spans="1:16" ht="24.75" customHeight="1">
      <c r="A20" s="107" t="s">
        <v>38</v>
      </c>
      <c r="B20" s="7">
        <f>'Castor U'!B15+'Sesamum U'!B19+'Soyabean U'!B14</f>
        <v>2.6870000000000003</v>
      </c>
      <c r="C20" s="7">
        <f>'Castor U'!C15+'Sesamum U'!C19+'Soyabean U'!C14</f>
        <v>3.87</v>
      </c>
      <c r="D20" s="7">
        <f>'Castor U'!D15+'Sesamum U'!D19+'Soyabean U'!D14</f>
        <v>4</v>
      </c>
      <c r="E20" s="7">
        <f>'Castor U'!E15+'Sesamum U'!E19+'Soyabean U'!E14</f>
        <v>4.041</v>
      </c>
      <c r="F20" s="7">
        <f>'Castor U'!F15+'Sesamum U'!F19+'Soyabean U'!F14</f>
        <v>4.279999999999999</v>
      </c>
      <c r="G20" s="7">
        <f>'Castor U'!G15+'Sesamum U'!G19+'Soyabean U'!G14</f>
        <v>2.053</v>
      </c>
      <c r="H20" s="7">
        <f>'Castor U'!H15+'Sesamum U'!H19+'Soyabean U'!H14</f>
        <v>4.93</v>
      </c>
      <c r="I20" s="7">
        <f>'Castor U'!I15+'Sesamum U'!I19+'Soyabean U'!I14</f>
        <v>5.46</v>
      </c>
      <c r="J20" s="7">
        <f>'Castor U'!J15+'Sesamum U'!J19+'Soyabean U'!J14</f>
        <v>5.667</v>
      </c>
      <c r="K20" s="7">
        <f>'Castor U'!K15+'Sesamum U'!K19+'Soyabean U'!K14</f>
        <v>5.697</v>
      </c>
      <c r="L20" s="98">
        <f t="shared" si="0"/>
        <v>764.0491254186824</v>
      </c>
      <c r="M20" s="98">
        <f t="shared" si="1"/>
        <v>1273.9018087855295</v>
      </c>
      <c r="N20" s="98">
        <f t="shared" si="2"/>
        <v>1365</v>
      </c>
      <c r="O20" s="98">
        <f t="shared" si="3"/>
        <v>1402.375649591685</v>
      </c>
      <c r="P20" s="98">
        <f t="shared" si="3"/>
        <v>1331.0747663551404</v>
      </c>
    </row>
    <row r="21" spans="1:16" ht="24.75" customHeight="1">
      <c r="A21" s="107" t="s">
        <v>39</v>
      </c>
      <c r="B21" s="7">
        <f>'Sesamum U'!B20+'Soyabean U'!B15</f>
        <v>1.76</v>
      </c>
      <c r="C21" s="7">
        <f>'Sesamum U'!C20+'Soyabean U'!C15</f>
        <v>1.75</v>
      </c>
      <c r="D21" s="7">
        <f>'Sesamum U'!D20+'Soyabean U'!D15</f>
        <v>1.82</v>
      </c>
      <c r="E21" s="7">
        <f>'Sesamum U'!E20+'Soyabean U'!E15</f>
        <v>1.916</v>
      </c>
      <c r="F21" s="7">
        <f>'Sesamum U'!F20+'Soyabean U'!F15</f>
        <v>1.8689999999999998</v>
      </c>
      <c r="G21" s="7">
        <f>'Sesamum U'!G20+'Soyabean U'!G15</f>
        <v>2.01</v>
      </c>
      <c r="H21" s="7">
        <f>'Sesamum U'!H20+'Soyabean U'!H15</f>
        <v>2.02</v>
      </c>
      <c r="I21" s="7">
        <f>'Sesamum U'!I20+'Soyabean U'!I15</f>
        <v>2.07</v>
      </c>
      <c r="J21" s="7">
        <f>'Sesamum U'!J20+'Soyabean U'!J15</f>
        <v>2.263</v>
      </c>
      <c r="K21" s="7">
        <f>'Sesamum U'!K20+'Soyabean U'!K15</f>
        <v>2.176</v>
      </c>
      <c r="L21" s="98">
        <f t="shared" si="0"/>
        <v>1142.0454545454543</v>
      </c>
      <c r="M21" s="98">
        <f t="shared" si="1"/>
        <v>1154.2857142857144</v>
      </c>
      <c r="N21" s="98">
        <f t="shared" si="2"/>
        <v>1137.3626373626373</v>
      </c>
      <c r="O21" s="98">
        <f t="shared" si="3"/>
        <v>1181.1064718162838</v>
      </c>
      <c r="P21" s="98">
        <f t="shared" si="3"/>
        <v>1164.2589620117712</v>
      </c>
    </row>
    <row r="22" spans="1:16" ht="24.75" customHeight="1">
      <c r="A22" s="107" t="s">
        <v>15</v>
      </c>
      <c r="B22" s="7">
        <f>'G Nut U'!C33+'Castor U'!B16+'Sesamum U'!B21+'Sunflower U'!C27+'Soyabean U'!B16</f>
        <v>29.580000000000002</v>
      </c>
      <c r="C22" s="7">
        <f>'G Nut U'!D33+'Castor U'!C16+'Sesamum U'!C21+'Sunflower U'!D27+'Soyabean U'!C16</f>
        <v>29.74</v>
      </c>
      <c r="D22" s="7">
        <f>'G Nut U'!E33+'Castor U'!D16+'Sesamum U'!D21+'Sunflower U'!E27+'Soyabean U'!D16</f>
        <v>29.8</v>
      </c>
      <c r="E22" s="7">
        <f>'G Nut U'!F33+'Castor U'!E16+'Sesamum U'!E21+'Sunflower U'!F27+'Soyabean U'!E16</f>
        <v>30</v>
      </c>
      <c r="F22" s="7">
        <f>'G Nut U'!G33+'Castor U'!F16+'Sesamum U'!F21+'Sunflower U'!G27+'Soyabean U'!F16</f>
        <v>30.22</v>
      </c>
      <c r="G22" s="7">
        <f>'G Nut U'!H33+'Castor U'!G16+'Sesamum U'!G21+'Sunflower U'!H27+'Soyabean U'!G16</f>
        <v>34.24</v>
      </c>
      <c r="H22" s="7">
        <f>'G Nut U'!I33+'Castor U'!H16+'Sesamum U'!H21+'Sunflower U'!I27+'Soyabean U'!H16</f>
        <v>34.49</v>
      </c>
      <c r="I22" s="7">
        <f>'G Nut U'!J33+'Castor U'!I16+'Sesamum U'!I21+'Sunflower U'!J27+'Soyabean U'!I16</f>
        <v>34.54</v>
      </c>
      <c r="J22" s="7">
        <f>'G Nut U'!K33+'Castor U'!J16+'Sesamum U'!J21+'Sunflower U'!K27+'Soyabean U'!J16</f>
        <v>34.75</v>
      </c>
      <c r="K22" s="7">
        <f>'G Nut U'!L33+'Castor U'!K16+'Sesamum U'!K21+'Sunflower U'!L27+'Soyabean U'!K16</f>
        <v>35.1</v>
      </c>
      <c r="L22" s="98">
        <f t="shared" si="0"/>
        <v>1157.5388776200134</v>
      </c>
      <c r="M22" s="98">
        <f t="shared" si="1"/>
        <v>1159.7175521183592</v>
      </c>
      <c r="N22" s="98">
        <f t="shared" si="2"/>
        <v>1159.0604026845638</v>
      </c>
      <c r="O22" s="98">
        <f t="shared" si="3"/>
        <v>1158.3333333333335</v>
      </c>
      <c r="P22" s="98">
        <f t="shared" si="3"/>
        <v>1161.4824619457313</v>
      </c>
    </row>
    <row r="23" spans="1:16" ht="24.75" customHeight="1">
      <c r="A23" s="107" t="s">
        <v>111</v>
      </c>
      <c r="B23" s="7">
        <f>'G Nut U'!C38+'Castor U'!B17+'Niger U'!B14+'Sesamum U'!B22+'Sunflower U'!C30+'Soyabean U'!B17</f>
        <v>138.67800000000003</v>
      </c>
      <c r="C23" s="7">
        <f>'G Nut U'!D38+'Castor U'!C17+'Niger U'!C14+'Sesamum U'!C22+'Sunflower U'!D30+'Soyabean U'!C17</f>
        <v>127.55</v>
      </c>
      <c r="D23" s="7">
        <f>'G Nut U'!E38+'Castor U'!D17+'Niger U'!D14+'Sesamum U'!D22+'Sunflower U'!E30+'Soyabean U'!D17</f>
        <v>129.51</v>
      </c>
      <c r="E23" s="7">
        <f>'G Nut U'!F38+'Castor U'!E17+'Niger U'!E14+'Sesamum U'!E22+'Sunflower U'!F30+'Soyabean U'!E17</f>
        <v>113.09000000000002</v>
      </c>
      <c r="F23" s="7">
        <f>'G Nut U'!G38+'Castor U'!F17+'Niger U'!F14+'Sesamum U'!F22+'Sunflower U'!G30+'Soyabean U'!F17</f>
        <v>114.56000000000002</v>
      </c>
      <c r="G23" s="7">
        <f>'G Nut U'!H38+'Castor U'!G17+'Niger U'!G14+'Sesamum U'!G22+'Sunflower U'!H30+'Soyabean U'!G17</f>
        <v>70.85000000000001</v>
      </c>
      <c r="H23" s="7">
        <f>'G Nut U'!I38+'Castor U'!H17+'Niger U'!H14+'Sesamum U'!H22+'Sunflower U'!I30+'Soyabean U'!H17</f>
        <v>66.16</v>
      </c>
      <c r="I23" s="7">
        <f>'G Nut U'!J38+'Castor U'!I17+'Niger U'!I14+'Sesamum U'!I22+'Sunflower U'!J30+'Soyabean U'!I17</f>
        <v>62.599999999999994</v>
      </c>
      <c r="J23" s="7">
        <f>'G Nut U'!K38+'Castor U'!J17+'Niger U'!J14+'Sesamum U'!J22+'Sunflower U'!K30+'Soyabean U'!J17</f>
        <v>48.89</v>
      </c>
      <c r="K23" s="7">
        <f>'G Nut U'!L38+'Castor U'!K17+'Niger U'!K14+'Sesamum U'!K22+'Sunflower U'!L30+'Soyabean U'!K17</f>
        <v>58.92</v>
      </c>
      <c r="L23" s="98">
        <f t="shared" si="0"/>
        <v>510.89574409783813</v>
      </c>
      <c r="M23" s="98">
        <f t="shared" si="1"/>
        <v>518.6985495883966</v>
      </c>
      <c r="N23" s="98">
        <f t="shared" si="2"/>
        <v>483.3603582734924</v>
      </c>
      <c r="O23" s="98">
        <f t="shared" si="3"/>
        <v>432.3105491201697</v>
      </c>
      <c r="P23" s="98">
        <f t="shared" si="3"/>
        <v>514.3156424581005</v>
      </c>
    </row>
    <row r="24" spans="1:16" ht="24.75" customHeight="1">
      <c r="A24" s="107" t="s">
        <v>17</v>
      </c>
      <c r="B24" s="7">
        <f>'G Nut U'!C41+'Sesamum U'!B23</f>
        <v>6.8</v>
      </c>
      <c r="C24" s="7">
        <f>'G Nut U'!D41+'Sesamum U'!C23</f>
        <v>5.3999999999999995</v>
      </c>
      <c r="D24" s="7">
        <f>'G Nut U'!E41+'Sesamum U'!D23</f>
        <v>6.1</v>
      </c>
      <c r="E24" s="7">
        <f>'G Nut U'!F41+'Sesamum U'!E23</f>
        <v>5.7</v>
      </c>
      <c r="F24" s="7">
        <f>'G Nut U'!G41+'Sesamum U'!F23</f>
        <v>4.2</v>
      </c>
      <c r="G24" s="7">
        <f>'G Nut U'!H41+'Sesamum U'!G23</f>
        <v>4.7</v>
      </c>
      <c r="H24" s="7">
        <f>'G Nut U'!I41+'Sesamum U'!H23</f>
        <v>3.8</v>
      </c>
      <c r="I24" s="7">
        <f>'G Nut U'!J41+'Sesamum U'!I23</f>
        <v>4</v>
      </c>
      <c r="J24" s="7">
        <f>'G Nut U'!K41+'Sesamum U'!J23</f>
        <v>3.5</v>
      </c>
      <c r="K24" s="7">
        <f>'G Nut U'!L41+'Sesamum U'!K23</f>
        <v>3.4</v>
      </c>
      <c r="L24" s="98">
        <f t="shared" si="0"/>
        <v>691.1764705882354</v>
      </c>
      <c r="M24" s="98">
        <f t="shared" si="1"/>
        <v>703.7037037037037</v>
      </c>
      <c r="N24" s="98">
        <f t="shared" si="2"/>
        <v>655.7377049180328</v>
      </c>
      <c r="O24" s="98">
        <f t="shared" si="3"/>
        <v>614.0350877192983</v>
      </c>
      <c r="P24" s="98">
        <f t="shared" si="3"/>
        <v>809.5238095238094</v>
      </c>
    </row>
    <row r="25" spans="1:16" ht="24.75" customHeight="1">
      <c r="A25" s="107" t="s">
        <v>18</v>
      </c>
      <c r="B25" s="7">
        <f>'G Nut U'!C42+'Castor U'!B18+'Sesamum U'!B24+'Soyabean U'!B18</f>
        <v>2075.74</v>
      </c>
      <c r="C25" s="7">
        <f>'G Nut U'!D42+'Castor U'!C18+'Sesamum U'!C24+'Soyabean U'!C18</f>
        <v>2192.97</v>
      </c>
      <c r="D25" s="7">
        <f>'G Nut U'!E42+'Castor U'!D18+'Sesamum U'!D24+'Soyabean U'!D18</f>
        <v>1980.21</v>
      </c>
      <c r="E25" s="7">
        <f>'G Nut U'!F42+'Castor U'!E18+'Sesamum U'!E24+'Soyabean U'!E18</f>
        <v>2279.786</v>
      </c>
      <c r="F25" s="7">
        <f>'G Nut U'!G42+'Castor U'!F18+'Sesamum U'!F24+'Soyabean U'!F18</f>
        <v>2021.089</v>
      </c>
      <c r="G25" s="7">
        <f>'G Nut U'!H42+'Castor U'!G18+'Sesamum U'!G24+'Soyabean U'!G18</f>
        <v>2548.1099999999997</v>
      </c>
      <c r="H25" s="7">
        <f>'G Nut U'!I42+'Castor U'!H18+'Sesamum U'!H24+'Soyabean U'!H18</f>
        <v>2233.77</v>
      </c>
      <c r="I25" s="7">
        <f>'G Nut U'!J42+'Castor U'!I18+'Sesamum U'!I24+'Soyabean U'!I18</f>
        <v>2415.34</v>
      </c>
      <c r="J25" s="7">
        <f>'G Nut U'!K42+'Castor U'!J18+'Sesamum U'!J24+'Soyabean U'!J18</f>
        <v>2432.6418169999997</v>
      </c>
      <c r="K25" s="7">
        <f>'G Nut U'!L42+'Castor U'!K18+'Sesamum U'!K24+'Soyabean U'!K18</f>
        <v>2555.846</v>
      </c>
      <c r="L25" s="98">
        <f t="shared" si="0"/>
        <v>1227.5670363340303</v>
      </c>
      <c r="M25" s="98">
        <f t="shared" si="1"/>
        <v>1018.6049056758644</v>
      </c>
      <c r="N25" s="98">
        <f t="shared" si="2"/>
        <v>1219.7393205771104</v>
      </c>
      <c r="O25" s="98">
        <f t="shared" si="3"/>
        <v>1067.048318131614</v>
      </c>
      <c r="P25" s="98">
        <f t="shared" si="3"/>
        <v>1264.5885460759027</v>
      </c>
    </row>
    <row r="26" spans="1:16" ht="24.75" customHeight="1">
      <c r="A26" s="107" t="s">
        <v>52</v>
      </c>
      <c r="B26" s="7">
        <f>'Soyabean U'!B19</f>
        <v>3.86</v>
      </c>
      <c r="C26" s="7">
        <f>'Soyabean U'!C19</f>
        <v>3.88</v>
      </c>
      <c r="D26" s="7">
        <f>'Soyabean U'!D19</f>
        <v>4.06</v>
      </c>
      <c r="E26" s="7">
        <f>'Soyabean U'!E19</f>
        <v>3.28</v>
      </c>
      <c r="F26" s="7">
        <f>'Soyabean U'!F19</f>
        <v>3.28</v>
      </c>
      <c r="G26" s="7">
        <f>'Soyabean U'!G19</f>
        <v>3.61</v>
      </c>
      <c r="H26" s="7">
        <f>'Soyabean U'!H19</f>
        <v>3.67</v>
      </c>
      <c r="I26" s="7">
        <f>'Soyabean U'!I19</f>
        <v>3.85</v>
      </c>
      <c r="J26" s="7">
        <f>'Soyabean U'!J19</f>
        <v>3.19</v>
      </c>
      <c r="K26" s="7">
        <f>'Soyabean U'!K19</f>
        <v>3.198</v>
      </c>
      <c r="L26" s="98">
        <f t="shared" si="0"/>
        <v>935.2331606217616</v>
      </c>
      <c r="M26" s="98">
        <f t="shared" si="1"/>
        <v>945.8762886597938</v>
      </c>
      <c r="N26" s="98">
        <f t="shared" si="2"/>
        <v>948.2758620689656</v>
      </c>
      <c r="O26" s="98">
        <f t="shared" si="3"/>
        <v>972.5609756097562</v>
      </c>
      <c r="P26" s="98">
        <f t="shared" si="3"/>
        <v>975.0000000000001</v>
      </c>
    </row>
    <row r="27" spans="1:16" ht="24.75" customHeight="1">
      <c r="A27" s="107" t="s">
        <v>19</v>
      </c>
      <c r="B27" s="7">
        <f>'G Nut U'!C45+'Castor U'!B19+'Niger U'!B15+'Sesamum U'!B25+'Sunflower U'!C35+'Soyabean U'!B20</f>
        <v>267.26</v>
      </c>
      <c r="C27" s="7">
        <f>'G Nut U'!D45+'Castor U'!C19+'Niger U'!C15+'Sesamum U'!C25+'Sunflower U'!D35+'Soyabean U'!C20</f>
        <v>280.96000000000004</v>
      </c>
      <c r="D27" s="7">
        <f>'G Nut U'!E45+'Castor U'!D19+'Niger U'!D15+'Sesamum U'!D25+'Sunflower U'!E35+'Soyabean U'!D20</f>
        <v>282.34999999999997</v>
      </c>
      <c r="E27" s="7">
        <f>'G Nut U'!F45+'Castor U'!E19+'Niger U'!E15+'Sesamum U'!E25+'Sunflower U'!F35+'Soyabean U'!E20</f>
        <v>276.58</v>
      </c>
      <c r="F27" s="7">
        <f>'G Nut U'!G45+'Castor U'!F19+'Niger U'!F15+'Sesamum U'!F25+'Sunflower U'!G35+'Soyabean U'!F20</f>
        <v>229.62</v>
      </c>
      <c r="G27" s="7">
        <f>'G Nut U'!H45+'Castor U'!G19+'Niger U'!G15+'Sesamum U'!G25+'Sunflower U'!H35+'Soyabean U'!G20</f>
        <v>448.2</v>
      </c>
      <c r="H27" s="7">
        <f>'G Nut U'!I45+'Castor U'!H19+'Niger U'!H15+'Sesamum U'!H25+'Sunflower U'!I35+'Soyabean U'!H20</f>
        <v>517.2</v>
      </c>
      <c r="I27" s="7">
        <f>'G Nut U'!J45+'Castor U'!I19+'Niger U'!I15+'Sesamum U'!I25+'Sunflower U'!J35+'Soyabean U'!I20</f>
        <v>542.51</v>
      </c>
      <c r="J27" s="7">
        <f>'G Nut U'!K45+'Castor U'!J19+'Niger U'!J15+'Sesamum U'!J25+'Sunflower U'!K35+'Soyabean U'!J20</f>
        <v>518.4799999999999</v>
      </c>
      <c r="K27" s="7">
        <f>'G Nut U'!L45+'Castor U'!K19+'Niger U'!K15+'Sesamum U'!K25+'Sunflower U'!L35+'Soyabean U'!K20</f>
        <v>319.18</v>
      </c>
      <c r="L27" s="98">
        <f t="shared" si="0"/>
        <v>1677.0186335403728</v>
      </c>
      <c r="M27" s="98">
        <f t="shared" si="1"/>
        <v>1840.8314350797266</v>
      </c>
      <c r="N27" s="98">
        <f t="shared" si="2"/>
        <v>1921.4095980166462</v>
      </c>
      <c r="O27" s="98">
        <f t="shared" si="3"/>
        <v>1874.6113240292136</v>
      </c>
      <c r="P27" s="98">
        <f t="shared" si="3"/>
        <v>1390.0357111749847</v>
      </c>
    </row>
    <row r="28" spans="1:16" ht="24.75" customHeight="1">
      <c r="A28" s="107" t="s">
        <v>116</v>
      </c>
      <c r="B28" s="7">
        <f>'G Nut U'!C48+'Castor U'!B21+'Niger U'!B16+'Sesamum U'!B26+'Sunflower U'!C38+'Soyabean U'!B21</f>
        <v>297.5</v>
      </c>
      <c r="C28" s="7">
        <f>'G Nut U'!D48+'Castor U'!C21+'Niger U'!C16+'Sesamum U'!C26+'Sunflower U'!D38+'Soyabean U'!C21</f>
        <v>424.97062663185375</v>
      </c>
      <c r="D28" s="7">
        <f>'G Nut U'!E48+'Castor U'!D21+'Niger U'!D16+'Sesamum U'!D26+'Sunflower U'!E38+'Soyabean U'!D21</f>
        <v>331</v>
      </c>
      <c r="E28" s="7">
        <f>'G Nut U'!F48+'Castor U'!E21+'Niger U'!E16+'Sesamum U'!E26+'Sunflower U'!F38+'Soyabean U'!E21</f>
        <v>320</v>
      </c>
      <c r="F28" s="7">
        <f>'G Nut U'!G48+'Castor U'!F21+'Niger U'!F16+'Sesamum U'!F26+'Sunflower U'!G38+'Soyabean U'!F21</f>
        <v>370</v>
      </c>
      <c r="G28" s="7">
        <f>'G Nut U'!H48+'Castor U'!G21+'Niger U'!G16+'Sesamum U'!G26+'Sunflower U'!H38+'Soyabean U'!G21</f>
        <v>373.1</v>
      </c>
      <c r="H28" s="7">
        <f>'G Nut U'!I48+'Castor U'!H21+'Niger U'!H16+'Sesamum U'!H26+'Sunflower U'!I38+'Soyabean U'!H21</f>
        <v>523.2659881597298</v>
      </c>
      <c r="I28" s="7">
        <f>'G Nut U'!J48+'Castor U'!I21+'Niger U'!I16+'Sesamum U'!I26+'Sunflower U'!J38+'Soyabean U'!I21</f>
        <v>325</v>
      </c>
      <c r="J28" s="7">
        <f>'G Nut U'!K48+'Castor U'!J21+'Niger U'!J16+'Sesamum U'!J26+'Sunflower U'!K38+'Soyabean U'!J21</f>
        <v>294</v>
      </c>
      <c r="K28" s="7">
        <f>'G Nut U'!L48+'Castor U'!K21+'Niger U'!K16+'Sesamum U'!K26+'Sunflower U'!L38+'Soyabean U'!K21</f>
        <v>416</v>
      </c>
      <c r="L28" s="98">
        <f t="shared" si="0"/>
        <v>1254.1176470588236</v>
      </c>
      <c r="M28" s="98">
        <f t="shared" si="1"/>
        <v>1231.2991895626424</v>
      </c>
      <c r="N28" s="98">
        <f t="shared" si="2"/>
        <v>981.8731117824774</v>
      </c>
      <c r="O28" s="98">
        <f t="shared" si="3"/>
        <v>918.75</v>
      </c>
      <c r="P28" s="98">
        <f t="shared" si="3"/>
        <v>1124.3243243243244</v>
      </c>
    </row>
    <row r="29" spans="1:16" ht="24.75" customHeight="1">
      <c r="A29" s="107" t="s">
        <v>53</v>
      </c>
      <c r="B29" s="7">
        <f>'G Nut U'!C51+'Sesamum U'!B27+'Soyabean U'!B22</f>
        <v>2.315</v>
      </c>
      <c r="C29" s="7">
        <f>'G Nut U'!D51+'Sesamum U'!C27+'Soyabean U'!C22</f>
        <v>3.08</v>
      </c>
      <c r="D29" s="7">
        <f>'G Nut U'!E51+'Sesamum U'!D27+'Soyabean U'!D22</f>
        <v>2.72</v>
      </c>
      <c r="E29" s="7">
        <f>'G Nut U'!F51+'Sesamum U'!E27+'Soyabean U'!E22</f>
        <v>4.4270000000000005</v>
      </c>
      <c r="F29" s="7">
        <f>'G Nut U'!G51+'Sesamum U'!F27+'Soyabean U'!F22</f>
        <v>6.723</v>
      </c>
      <c r="G29" s="7">
        <f>'G Nut U'!H51+'Sesamum U'!G27+'Soyabean U'!G22</f>
        <v>0.251</v>
      </c>
      <c r="H29" s="7">
        <f>'G Nut U'!I51+'Sesamum U'!H27+'Soyabean U'!H22</f>
        <v>1.99</v>
      </c>
      <c r="I29" s="7">
        <f>'G Nut U'!J51+'Sesamum U'!I27+'Soyabean U'!I22</f>
        <v>1.81</v>
      </c>
      <c r="J29" s="7">
        <f>'G Nut U'!K51+'Sesamum U'!J27+'Soyabean U'!J22</f>
        <v>2.867</v>
      </c>
      <c r="K29" s="7">
        <f>'G Nut U'!L51+'Sesamum U'!K27+'Soyabean U'!K22</f>
        <v>4.631</v>
      </c>
      <c r="L29" s="98">
        <f t="shared" si="0"/>
        <v>108.42332613390928</v>
      </c>
      <c r="M29" s="98">
        <f t="shared" si="1"/>
        <v>646.1038961038961</v>
      </c>
      <c r="N29" s="98">
        <f t="shared" si="2"/>
        <v>665.4411764705882</v>
      </c>
      <c r="O29" s="98">
        <f t="shared" si="3"/>
        <v>647.6168963180484</v>
      </c>
      <c r="P29" s="98">
        <f t="shared" si="3"/>
        <v>688.8293916406367</v>
      </c>
    </row>
    <row r="30" spans="1:16" ht="24.75" customHeight="1">
      <c r="A30" s="107" t="s">
        <v>22</v>
      </c>
      <c r="B30" s="7">
        <f>'G Nut U'!C54+'Sesamum U'!B28+'Soyabean U'!B23</f>
        <v>452</v>
      </c>
      <c r="C30" s="7">
        <f>'G Nut U'!D54+'Sesamum U'!C28+'Soyabean U'!C23</f>
        <v>415</v>
      </c>
      <c r="D30" s="7">
        <f>'G Nut U'!E54+'Sesamum U'!D28+'Soyabean U'!D23</f>
        <v>473</v>
      </c>
      <c r="E30" s="7">
        <f>'G Nut U'!F54+'Sesamum U'!E28+'Soyabean U'!E23</f>
        <v>679</v>
      </c>
      <c r="F30" s="7">
        <f>'G Nut U'!G54+'Sesamum U'!F28+'Soyabean U'!F23</f>
        <v>475.2</v>
      </c>
      <c r="G30" s="7">
        <f>'G Nut U'!H54+'Sesamum U'!G28+'Soyabean U'!G23</f>
        <v>177</v>
      </c>
      <c r="H30" s="7">
        <f>'G Nut U'!I54+'Sesamum U'!H28+'Soyabean U'!H23</f>
        <v>144</v>
      </c>
      <c r="I30" s="7">
        <f>'G Nut U'!J54+'Sesamum U'!I28+'Soyabean U'!I23</f>
        <v>186</v>
      </c>
      <c r="J30" s="7">
        <f>'G Nut U'!K54+'Sesamum U'!J28+'Soyabean U'!J23</f>
        <v>249.69480000000001</v>
      </c>
      <c r="K30" s="7">
        <f>'G Nut U'!L54+'Sesamum U'!K28+'Soyabean U'!K23</f>
        <v>171.2228</v>
      </c>
      <c r="L30" s="98">
        <f t="shared" si="0"/>
        <v>391.5929203539823</v>
      </c>
      <c r="M30" s="98">
        <f t="shared" si="1"/>
        <v>346.9879518072289</v>
      </c>
      <c r="N30" s="98">
        <f t="shared" si="2"/>
        <v>393.23467230443975</v>
      </c>
      <c r="O30" s="98">
        <f t="shared" si="3"/>
        <v>367.739027982327</v>
      </c>
      <c r="P30" s="98">
        <f t="shared" si="3"/>
        <v>360.31734006734007</v>
      </c>
    </row>
    <row r="31" spans="1:16" ht="24.75" customHeight="1">
      <c r="A31" s="107" t="s">
        <v>86</v>
      </c>
      <c r="B31" s="7">
        <f>'G Nut U'!C55+'Sesamum U'!B29+'Soyabean U'!B24+'Castor U'!B20</f>
        <v>13.61</v>
      </c>
      <c r="C31" s="7">
        <f>'G Nut U'!D55+'Sesamum U'!C29+'Soyabean U'!C24+'Castor U'!C20</f>
        <v>17.95</v>
      </c>
      <c r="D31" s="7">
        <f>'G Nut U'!E55+'Sesamum U'!D29+'Soyabean U'!D24+'Castor U'!D20</f>
        <v>15.36</v>
      </c>
      <c r="E31" s="7">
        <f>'G Nut U'!F55+'Sesamum U'!E29+'Soyabean U'!E24+'Castor U'!E20</f>
        <v>16.549999999999997</v>
      </c>
      <c r="F31" s="7">
        <f>'G Nut U'!G55+'Sesamum U'!F29+'Soyabean U'!F24+'Castor U'!F20</f>
        <v>15</v>
      </c>
      <c r="G31" s="7">
        <f>'G Nut U'!H55+'Sesamum U'!G29+'Soyabean U'!G24+'Castor U'!G20</f>
        <v>22.63</v>
      </c>
      <c r="H31" s="7">
        <f>'G Nut U'!I55+'Sesamum U'!H29+'Soyabean U'!H24+'Castor U'!H20</f>
        <v>23.81</v>
      </c>
      <c r="I31" s="7">
        <f>'G Nut U'!J55+'Sesamum U'!I29+'Soyabean U'!I24+'Castor U'!I20</f>
        <v>18.01</v>
      </c>
      <c r="J31" s="7">
        <f>'G Nut U'!K55+'Sesamum U'!J29+'Soyabean U'!J24+'Castor U'!J20</f>
        <v>20.12</v>
      </c>
      <c r="K31" s="7">
        <f>'G Nut U'!L55+'Sesamum U'!K29+'Soyabean U'!K24+'Castor U'!K20</f>
        <v>15</v>
      </c>
      <c r="L31" s="98">
        <f t="shared" si="0"/>
        <v>1662.747979426892</v>
      </c>
      <c r="M31" s="98">
        <f t="shared" si="1"/>
        <v>1326.4623955431755</v>
      </c>
      <c r="N31" s="98">
        <f t="shared" si="2"/>
        <v>1172.5260416666667</v>
      </c>
      <c r="O31" s="98">
        <f t="shared" si="3"/>
        <v>1215.7099697885199</v>
      </c>
      <c r="P31" s="98">
        <f t="shared" si="3"/>
        <v>1000</v>
      </c>
    </row>
    <row r="32" spans="1:16" ht="24.75" customHeight="1">
      <c r="A32" s="107" t="s">
        <v>23</v>
      </c>
      <c r="B32" s="7">
        <f>'G Nut U'!C56+'Castor U'!B22+'Niger U'!B17+'Sesamum U'!B30+'Sunflower U'!C42+'Soyabean U'!B25</f>
        <v>215.82</v>
      </c>
      <c r="C32" s="7">
        <f>'G Nut U'!D56+'Castor U'!C22+'Niger U'!C17+'Sesamum U'!C30+'Sunflower U'!D42+'Soyabean U'!C25</f>
        <v>221.701</v>
      </c>
      <c r="D32" s="7">
        <f>'G Nut U'!E56+'Castor U'!D22+'Niger U'!D17+'Sesamum U'!D30+'Sunflower U'!E42+'Soyabean U'!D25</f>
        <v>231.17</v>
      </c>
      <c r="E32" s="7">
        <f>'G Nut U'!F56+'Castor U'!E22+'Niger U'!E17+'Sesamum U'!E30+'Sunflower U'!F42+'Soyabean U'!E25</f>
        <v>234.352</v>
      </c>
      <c r="F32" s="7">
        <f>'G Nut U'!G56+'Castor U'!F22+'Niger U'!F17+'Sesamum U'!F30+'Sunflower U'!G42+'Soyabean U'!F25</f>
        <v>239.75699999999998</v>
      </c>
      <c r="G32" s="7">
        <f>'G Nut U'!H56+'Castor U'!G22+'Niger U'!G17+'Sesamum U'!G30+'Sunflower U'!H42+'Soyabean U'!G25</f>
        <v>206.01</v>
      </c>
      <c r="H32" s="7">
        <f>'G Nut U'!I56+'Castor U'!H22+'Niger U'!H17+'Sesamum U'!H30+'Sunflower U'!I42+'Soyabean U'!H25</f>
        <v>211.77900000000002</v>
      </c>
      <c r="I32" s="7">
        <f>'G Nut U'!J56+'Castor U'!I22+'Niger U'!I17+'Sesamum U'!I30+'Sunflower U'!J42+'Soyabean U'!I25</f>
        <v>218.77999999999997</v>
      </c>
      <c r="J32" s="7">
        <f>'G Nut U'!K56+'Castor U'!J22+'Niger U'!J17+'Sesamum U'!J30+'Sunflower U'!K42+'Soyabean U'!J25</f>
        <v>219.485</v>
      </c>
      <c r="K32" s="7">
        <f>'G Nut U'!L56+'Castor U'!K22+'Niger U'!K17+'Sesamum U'!K30+'Sunflower U'!L42+'Soyabean U'!K25</f>
        <v>222.78900000000002</v>
      </c>
      <c r="L32" s="98">
        <f t="shared" si="0"/>
        <v>954.5454545454546</v>
      </c>
      <c r="M32" s="98">
        <f t="shared" si="1"/>
        <v>955.2460295623387</v>
      </c>
      <c r="N32" s="98">
        <f t="shared" si="2"/>
        <v>946.403079984427</v>
      </c>
      <c r="O32" s="98">
        <f t="shared" si="3"/>
        <v>936.561241209804</v>
      </c>
      <c r="P32" s="98">
        <f t="shared" si="3"/>
        <v>929.2283436979943</v>
      </c>
    </row>
    <row r="33" spans="1:16" ht="24.75" customHeight="1">
      <c r="A33" s="107" t="s">
        <v>114</v>
      </c>
      <c r="B33" s="7">
        <f>'Sesamum U'!B31</f>
        <v>0</v>
      </c>
      <c r="C33" s="7">
        <f>'Sesamum U'!C31</f>
        <v>0.03</v>
      </c>
      <c r="D33" s="7">
        <f>'Sesamum U'!D31</f>
        <v>0.002</v>
      </c>
      <c r="E33" s="7">
        <f>'Sesamum U'!E31</f>
        <v>0.035</v>
      </c>
      <c r="F33" s="7">
        <f>'Sesamum U'!F31</f>
        <v>0.004</v>
      </c>
      <c r="G33" s="7">
        <f>'Sesamum U'!G31</f>
        <v>0</v>
      </c>
      <c r="H33" s="7">
        <f>'Sesamum U'!H31</f>
        <v>0.006</v>
      </c>
      <c r="I33" s="7">
        <f>'Sesamum U'!I31</f>
        <v>0.01</v>
      </c>
      <c r="J33" s="7">
        <f>'Sesamum U'!J31</f>
        <v>0.0067</v>
      </c>
      <c r="K33" s="7">
        <f>'Sesamum U'!K31</f>
        <v>0.00105</v>
      </c>
      <c r="L33" s="98">
        <v>0</v>
      </c>
      <c r="M33" s="98">
        <f aca="true" t="shared" si="4" ref="M33:P36">H33/C33*1000</f>
        <v>200</v>
      </c>
      <c r="N33" s="98">
        <f t="shared" si="4"/>
        <v>5000</v>
      </c>
      <c r="O33" s="98">
        <f t="shared" si="4"/>
        <v>191.42857142857142</v>
      </c>
      <c r="P33" s="98">
        <f t="shared" si="4"/>
        <v>262.49999999999994</v>
      </c>
    </row>
    <row r="34" spans="1:16" ht="24.75" customHeight="1">
      <c r="A34" s="107" t="s">
        <v>83</v>
      </c>
      <c r="B34" s="7">
        <f>'Niger U'!B18+'Sesamum U'!B32</f>
        <v>0.139</v>
      </c>
      <c r="C34" s="7">
        <f>'Niger U'!C18+'Sesamum U'!C32</f>
        <v>0.18000000000000002</v>
      </c>
      <c r="D34" s="7">
        <f>'Niger U'!D18+'Sesamum U'!D32</f>
        <v>0.14</v>
      </c>
      <c r="E34" s="7">
        <f>'Niger U'!E18+'Sesamum U'!E32</f>
        <v>0</v>
      </c>
      <c r="F34" s="7">
        <f>'Niger U'!F18+'Sesamum U'!F32</f>
        <v>0.036</v>
      </c>
      <c r="G34" s="7">
        <f>'Niger U'!G18+'Sesamum U'!G32</f>
        <v>0.084</v>
      </c>
      <c r="H34" s="7">
        <f>'Niger U'!H18+'Sesamum U'!H32</f>
        <v>0.12</v>
      </c>
      <c r="I34" s="7">
        <f>'Niger U'!I18+'Sesamum U'!I32</f>
        <v>0.08</v>
      </c>
      <c r="J34" s="7">
        <f>'Niger U'!J18+'Sesamum U'!J32</f>
        <v>0</v>
      </c>
      <c r="K34" s="7">
        <f>'Niger U'!K18+'Sesamum U'!K32</f>
        <v>0.012499999999999999</v>
      </c>
      <c r="L34" s="98">
        <f>G34/B34*1000</f>
        <v>604.31654676259</v>
      </c>
      <c r="M34" s="98">
        <f t="shared" si="4"/>
        <v>666.6666666666665</v>
      </c>
      <c r="N34" s="98">
        <f t="shared" si="4"/>
        <v>571.4285714285714</v>
      </c>
      <c r="O34" s="98">
        <v>0</v>
      </c>
      <c r="P34" s="98">
        <f t="shared" si="4"/>
        <v>347.22222222222223</v>
      </c>
    </row>
    <row r="35" spans="1:16" ht="24.75" customHeight="1">
      <c r="A35" s="107" t="s">
        <v>127</v>
      </c>
      <c r="B35" s="7">
        <f>'G Nut U'!C60+'Sesamum U'!B33</f>
        <v>0.443</v>
      </c>
      <c r="C35" s="7">
        <f>'G Nut U'!D60+'Sesamum U'!C33</f>
        <v>0.54</v>
      </c>
      <c r="D35" s="7">
        <f>'G Nut U'!E60+'Sesamum U'!D33</f>
        <v>0.47000000000000003</v>
      </c>
      <c r="E35" s="7">
        <f>'G Nut U'!F60+'Sesamum U'!E33</f>
        <v>0.365</v>
      </c>
      <c r="F35" s="7">
        <f>'G Nut U'!G60+'Sesamum U'!F33</f>
        <v>0.289</v>
      </c>
      <c r="G35" s="7">
        <f>'G Nut U'!H60+'Sesamum U'!G33</f>
        <v>0.815</v>
      </c>
      <c r="H35" s="7">
        <f>'G Nut U'!I60+'Sesamum U'!H33</f>
        <v>1.03</v>
      </c>
      <c r="I35" s="7">
        <f>'G Nut U'!J60+'Sesamum U'!I33</f>
        <v>1.1</v>
      </c>
      <c r="J35" s="7">
        <f>'G Nut U'!K60+'Sesamum U'!J33</f>
        <v>0.82</v>
      </c>
      <c r="K35" s="7">
        <f>'G Nut U'!L60+'Sesamum U'!K33</f>
        <v>0.714</v>
      </c>
      <c r="L35" s="98">
        <f>G35/B35*1000</f>
        <v>1839.7291196388262</v>
      </c>
      <c r="M35" s="98">
        <f t="shared" si="4"/>
        <v>1907.4074074074074</v>
      </c>
      <c r="N35" s="98">
        <f t="shared" si="4"/>
        <v>2340.425531914894</v>
      </c>
      <c r="O35" s="98">
        <f t="shared" si="4"/>
        <v>2246.5753424657537</v>
      </c>
      <c r="P35" s="98">
        <f t="shared" si="4"/>
        <v>2470.5882352941176</v>
      </c>
    </row>
    <row r="36" spans="1:16" s="154" customFormat="1" ht="24.75" customHeight="1">
      <c r="A36" s="156" t="s">
        <v>45</v>
      </c>
      <c r="B36" s="65">
        <f>'G Nut U'!C63+'Castor U'!B23+'Niger U'!B19+'Sesamum U'!B34+'Sunflower U'!C45+'Soyabean U'!B26</f>
        <v>18322.668000000005</v>
      </c>
      <c r="C36" s="65">
        <f>'G Nut U'!D63+'Castor U'!C23+'Niger U'!C19+'Sesamum U'!C34+'Sunflower U'!D45+'Soyabean U'!C26</f>
        <v>19655.704</v>
      </c>
      <c r="D36" s="65">
        <f>'G Nut U'!E63+'Castor U'!D23+'Niger U'!D19+'Sesamum U'!D34+'Sunflower U'!E45+'Soyabean U'!D26</f>
        <v>18208.582000000002</v>
      </c>
      <c r="E36" s="65">
        <f>'G Nut U'!F63+'Castor U'!E23+'Niger U'!E19+'Sesamum U'!E34+'Sunflower U'!F45+'Soyabean U'!E26</f>
        <v>18871.917000000005</v>
      </c>
      <c r="F36" s="65">
        <f>'G Nut U'!G63+'Castor U'!F23+'Niger U'!F19+'Sesamum U'!F34+'Sunflower U'!G45+'Soyabean U'!F26</f>
        <v>18675.403</v>
      </c>
      <c r="G36" s="65">
        <f>'G Nut U'!H63+'Castor U'!G23+'Niger U'!G19+'Sesamum U'!G34+'Sunflower U'!H45+'Soyabean U'!G26</f>
        <v>20791.122000000003</v>
      </c>
      <c r="H36" s="65">
        <f>'G Nut U'!I63+'Castor U'!H23+'Niger U'!H19+'Sesamum U'!H34+'Sunflower U'!I45+'Soyabean U'!H26</f>
        <v>22623.807520454546</v>
      </c>
      <c r="I36" s="65">
        <f>'G Nut U'!J63+'Castor U'!I23+'Niger U'!I19+'Sesamum U'!I34+'Sunflower U'!J45+'Soyabean U'!I26</f>
        <v>19221.28</v>
      </c>
      <c r="J36" s="65">
        <f>'G Nut U'!K63+'Castor U'!J23+'Niger U'!J19+'Sesamum U'!J34+'Sunflower U'!K45+'Soyabean U'!J26</f>
        <v>16698.201817</v>
      </c>
      <c r="K36" s="65">
        <f>'G Nut U'!L63+'Castor U'!K23+'Niger U'!K19+'Sesamum U'!K34+'Sunflower U'!L45+'Soyabean U'!K26</f>
        <v>21525.664349999992</v>
      </c>
      <c r="L36" s="144">
        <f>G36/B36*1000</f>
        <v>1134.7213189694862</v>
      </c>
      <c r="M36" s="144">
        <f t="shared" si="4"/>
        <v>1151.0046915874673</v>
      </c>
      <c r="N36" s="144">
        <f t="shared" si="4"/>
        <v>1055.6165219235631</v>
      </c>
      <c r="O36" s="144">
        <f t="shared" si="4"/>
        <v>884.8174680399451</v>
      </c>
      <c r="P36" s="144">
        <f t="shared" si="4"/>
        <v>1152.621142901173</v>
      </c>
    </row>
    <row r="37" ht="18">
      <c r="A37" s="58"/>
    </row>
    <row r="40" spans="2:11" ht="18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8"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sheetProtection/>
  <mergeCells count="5">
    <mergeCell ref="B2:F2"/>
    <mergeCell ref="A2:A3"/>
    <mergeCell ref="L2:P2"/>
    <mergeCell ref="G2:K2"/>
    <mergeCell ref="A1:P1"/>
  </mergeCells>
  <printOptions horizontalCentered="1" verticalCentered="1"/>
  <pageMargins left="0.5118110236220472" right="0.5118110236220472" top="0.2362204724409449" bottom="0" header="0.5118110236220472" footer="0.5118110236220472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P41"/>
  <sheetViews>
    <sheetView view="pageBreakPreview" zoomScale="70" zoomScaleNormal="60" zoomScaleSheetLayoutView="70" zoomScalePageLayoutView="0" workbookViewId="0" topLeftCell="A1">
      <pane xSplit="1" ySplit="3" topLeftCell="B4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M36" sqref="M36"/>
    </sheetView>
  </sheetViews>
  <sheetFormatPr defaultColWidth="9.140625" defaultRowHeight="12.75"/>
  <cols>
    <col min="1" max="1" width="23.421875" style="21" customWidth="1"/>
    <col min="2" max="3" width="12.57421875" style="21" customWidth="1"/>
    <col min="4" max="4" width="13.57421875" style="21" customWidth="1"/>
    <col min="5" max="6" width="12.57421875" style="21" customWidth="1"/>
    <col min="7" max="7" width="13.8515625" style="21" customWidth="1"/>
    <col min="8" max="8" width="13.00390625" style="21" customWidth="1"/>
    <col min="9" max="11" width="12.421875" style="21" customWidth="1"/>
    <col min="12" max="12" width="12.57421875" style="21" customWidth="1"/>
    <col min="13" max="13" width="12.7109375" style="21" bestFit="1" customWidth="1"/>
    <col min="14" max="16" width="12.7109375" style="21" customWidth="1"/>
    <col min="17" max="16384" width="9.140625" style="21" customWidth="1"/>
  </cols>
  <sheetData>
    <row r="1" spans="1:16" ht="32.25" customHeight="1">
      <c r="A1" s="212" t="s">
        <v>136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21" customHeight="1">
      <c r="A2" s="217" t="s">
        <v>0</v>
      </c>
      <c r="B2" s="185" t="s">
        <v>81</v>
      </c>
      <c r="C2" s="186"/>
      <c r="D2" s="186"/>
      <c r="E2" s="186"/>
      <c r="F2" s="187"/>
      <c r="G2" s="185" t="s">
        <v>82</v>
      </c>
      <c r="H2" s="186"/>
      <c r="I2" s="186"/>
      <c r="J2" s="186"/>
      <c r="K2" s="187"/>
      <c r="L2" s="184" t="s">
        <v>79</v>
      </c>
      <c r="M2" s="184"/>
      <c r="N2" s="184"/>
      <c r="O2" s="184"/>
      <c r="P2" s="184"/>
    </row>
    <row r="3" spans="1:16" s="23" customFormat="1" ht="26.25" customHeight="1">
      <c r="A3" s="220"/>
      <c r="B3" s="146" t="s">
        <v>112</v>
      </c>
      <c r="C3" s="146" t="s">
        <v>113</v>
      </c>
      <c r="D3" s="146" t="s">
        <v>115</v>
      </c>
      <c r="E3" s="146" t="s">
        <v>121</v>
      </c>
      <c r="F3" s="146" t="s">
        <v>122</v>
      </c>
      <c r="G3" s="146" t="s">
        <v>112</v>
      </c>
      <c r="H3" s="146" t="s">
        <v>113</v>
      </c>
      <c r="I3" s="146" t="s">
        <v>115</v>
      </c>
      <c r="J3" s="146" t="s">
        <v>121</v>
      </c>
      <c r="K3" s="146" t="s">
        <v>122</v>
      </c>
      <c r="L3" s="146" t="s">
        <v>112</v>
      </c>
      <c r="M3" s="146" t="s">
        <v>113</v>
      </c>
      <c r="N3" s="146" t="s">
        <v>115</v>
      </c>
      <c r="O3" s="146" t="s">
        <v>121</v>
      </c>
      <c r="P3" s="146" t="s">
        <v>122</v>
      </c>
    </row>
    <row r="4" spans="1:16" ht="24.75" customHeight="1">
      <c r="A4" s="107" t="s">
        <v>1</v>
      </c>
      <c r="B4" s="73">
        <f>'G Nut U'!C5+'R &amp; M U'!B4+'Linseed U'!B4+'Safflower U'!B4+'Sunflower U'!C5</f>
        <v>216</v>
      </c>
      <c r="C4" s="73">
        <f>'G Nut U'!D5+'R &amp; M U'!C4+'Linseed U'!C4+'Safflower U'!C4+'Sunflower U'!D5</f>
        <v>166.32</v>
      </c>
      <c r="D4" s="73">
        <f>'G Nut U'!E5+'R &amp; M U'!D4+'Linseed U'!D4+'Safflower U'!D4+'Sunflower U'!E5</f>
        <v>116</v>
      </c>
      <c r="E4" s="73">
        <f>'G Nut U'!F5+'R &amp; M U'!E4+'Linseed U'!E4+'Safflower U'!E4+'Sunflower U'!F5</f>
        <v>114</v>
      </c>
      <c r="F4" s="73">
        <f>'G Nut U'!G5+'R &amp; M U'!F4+'Linseed U'!F4+'Safflower U'!F4+'Sunflower U'!G5</f>
        <v>97</v>
      </c>
      <c r="G4" s="73">
        <f>'G Nut U'!H5+'R &amp; M U'!G4+'Linseed U'!G4+'Safflower U'!G4+'Sunflower U'!H5</f>
        <v>301.4</v>
      </c>
      <c r="H4" s="73">
        <f>'G Nut U'!I5+'R &amp; M U'!H4+'Linseed U'!H4+'Safflower U'!H4+'Sunflower U'!I5</f>
        <v>263.76</v>
      </c>
      <c r="I4" s="73">
        <f>'G Nut U'!J5+'R &amp; M U'!I4+'Linseed U'!I4+'Safflower U'!I4+'Sunflower U'!J5</f>
        <v>201</v>
      </c>
      <c r="J4" s="73">
        <f>'G Nut U'!K5+'R &amp; M U'!J4+'Linseed U'!J4+'Safflower U'!J4+'Sunflower U'!K5</f>
        <v>222</v>
      </c>
      <c r="K4" s="73">
        <f>'G Nut U'!L5+'R &amp; M U'!K4+'Linseed U'!K4+'Safflower U'!K4+'Sunflower U'!L5</f>
        <v>229</v>
      </c>
      <c r="L4" s="98">
        <f aca="true" t="shared" si="0" ref="L4:L32">G4/B4*1000</f>
        <v>1395.3703703703704</v>
      </c>
      <c r="M4" s="98">
        <f aca="true" t="shared" si="1" ref="M4:M32">H4/C4*1000</f>
        <v>1585.858585858586</v>
      </c>
      <c r="N4" s="98">
        <f aca="true" t="shared" si="2" ref="N4:N32">I4/D4*1000</f>
        <v>1732.7586206896553</v>
      </c>
      <c r="O4" s="98">
        <f aca="true" t="shared" si="3" ref="O4:P32">J4/E4*1000</f>
        <v>1947.3684210526317</v>
      </c>
      <c r="P4" s="98">
        <f t="shared" si="3"/>
        <v>2360.824742268041</v>
      </c>
    </row>
    <row r="5" spans="1:16" ht="24.75" customHeight="1">
      <c r="A5" s="107" t="s">
        <v>33</v>
      </c>
      <c r="B5" s="73">
        <f>'R &amp; M U'!B5+'Linseed U'!B5+'Safflower U'!B5</f>
        <v>26.653</v>
      </c>
      <c r="C5" s="73">
        <f>'R &amp; M U'!C5+'Linseed U'!C5+'Safflower U'!C5</f>
        <v>27.61</v>
      </c>
      <c r="D5" s="73">
        <f>'R &amp; M U'!D5+'Linseed U'!D5+'Safflower U'!D5</f>
        <v>29.38</v>
      </c>
      <c r="E5" s="73">
        <f>'R &amp; M U'!E5+'Linseed U'!E5+'Safflower U'!E5</f>
        <v>29.229</v>
      </c>
      <c r="F5" s="73">
        <f>'R &amp; M U'!F5+'Linseed U'!F5+'Safflower U'!F5</f>
        <v>28.307000000000002</v>
      </c>
      <c r="G5" s="73">
        <f>'R &amp; M U'!G5+'Linseed U'!G5+'Safflower U'!G5</f>
        <v>24.115</v>
      </c>
      <c r="H5" s="73">
        <f>'R &amp; M U'!H5+'Linseed U'!H5+'Safflower U'!H5</f>
        <v>25.85</v>
      </c>
      <c r="I5" s="73">
        <f>'R &amp; M U'!I5+'Linseed U'!I5+'Safflower U'!I5</f>
        <v>29.779999999999998</v>
      </c>
      <c r="J5" s="73">
        <f>'R &amp; M U'!J5+'Linseed U'!J5+'Safflower U'!J5</f>
        <v>31.843</v>
      </c>
      <c r="K5" s="73">
        <f>'R &amp; M U'!K5+'Linseed U'!K5+'Safflower U'!K5</f>
        <v>28.848</v>
      </c>
      <c r="L5" s="98">
        <f t="shared" si="0"/>
        <v>904.7761978013732</v>
      </c>
      <c r="M5" s="98">
        <f t="shared" si="1"/>
        <v>936.2549800796813</v>
      </c>
      <c r="N5" s="98">
        <f t="shared" si="2"/>
        <v>1013.6147038801906</v>
      </c>
      <c r="O5" s="98">
        <f t="shared" si="3"/>
        <v>1089.4317287625304</v>
      </c>
      <c r="P5" s="98">
        <f t="shared" si="3"/>
        <v>1019.1118804535979</v>
      </c>
    </row>
    <row r="6" spans="1:16" ht="24.75" customHeight="1">
      <c r="A6" s="107" t="s">
        <v>29</v>
      </c>
      <c r="B6" s="73">
        <f>'R &amp; M U'!B6+'Linseed U'!B6</f>
        <v>286.24</v>
      </c>
      <c r="C6" s="73">
        <f>'R &amp; M U'!C6+'Linseed U'!C6</f>
        <v>285.18</v>
      </c>
      <c r="D6" s="73">
        <f>'R &amp; M U'!D6+'Linseed U'!D6</f>
        <v>286.63</v>
      </c>
      <c r="E6" s="73">
        <f>'R &amp; M U'!E6+'Linseed U'!E6</f>
        <v>290.949</v>
      </c>
      <c r="F6" s="73">
        <f>'R &amp; M U'!F6+'Linseed U'!F6</f>
        <v>298.988</v>
      </c>
      <c r="G6" s="73">
        <f>'R &amp; M U'!G6+'Linseed U'!G6</f>
        <v>174.21</v>
      </c>
      <c r="H6" s="73">
        <f>'R &amp; M U'!H6+'Linseed U'!H6</f>
        <v>172.82999999999998</v>
      </c>
      <c r="I6" s="73">
        <f>'R &amp; M U'!I6+'Linseed U'!I6</f>
        <v>191.47</v>
      </c>
      <c r="J6" s="73">
        <f>'R &amp; M U'!J6+'Linseed U'!J6</f>
        <v>202.839</v>
      </c>
      <c r="K6" s="73">
        <f>'R &amp; M U'!K6+'Linseed U'!K6</f>
        <v>192.256</v>
      </c>
      <c r="L6" s="98">
        <f t="shared" si="0"/>
        <v>608.6151481274455</v>
      </c>
      <c r="M6" s="98">
        <f t="shared" si="1"/>
        <v>606.0382916053019</v>
      </c>
      <c r="N6" s="98">
        <f t="shared" si="2"/>
        <v>668.0040470292712</v>
      </c>
      <c r="O6" s="98">
        <f t="shared" si="3"/>
        <v>697.1634203932647</v>
      </c>
      <c r="P6" s="98">
        <f t="shared" si="3"/>
        <v>643.0224624399642</v>
      </c>
    </row>
    <row r="7" spans="1:16" ht="24.75" customHeight="1">
      <c r="A7" s="107" t="s">
        <v>41</v>
      </c>
      <c r="B7" s="73">
        <f>'R &amp; M U'!B7+'Linseed U'!B7+'Safflower U'!B6+'Sunflower U'!C9</f>
        <v>122.88999999999999</v>
      </c>
      <c r="C7" s="73">
        <f>'R &amp; M U'!C7+'Linseed U'!C7+'Safflower U'!C6+'Sunflower U'!D9</f>
        <v>116.44</v>
      </c>
      <c r="D7" s="73">
        <f>'R &amp; M U'!D7+'Linseed U'!D7+'Safflower U'!D6+'Sunflower U'!E9</f>
        <v>110.41999999999999</v>
      </c>
      <c r="E7" s="73">
        <f>'R &amp; M U'!E7+'Linseed U'!E7+'Safflower U'!E6+'Sunflower U'!F9</f>
        <v>114.29499999999999</v>
      </c>
      <c r="F7" s="73">
        <f>'R &amp; M U'!F7+'Linseed U'!F7+'Safflower U'!F6+'Sunflower U'!G9</f>
        <v>103.762</v>
      </c>
      <c r="G7" s="73">
        <f>'R &amp; M U'!G7+'Linseed U'!G7+'Safflower U'!G6+'Sunflower U'!H9</f>
        <v>137.7436</v>
      </c>
      <c r="H7" s="73">
        <f>'R &amp; M U'!H7+'Linseed U'!H7+'Safflower U'!H6+'Sunflower U'!I9</f>
        <v>139.05625</v>
      </c>
      <c r="I7" s="73">
        <f>'R &amp; M U'!I7+'Linseed U'!I7+'Safflower U'!I6+'Sunflower U'!J9</f>
        <v>120.78999999999999</v>
      </c>
      <c r="J7" s="73">
        <f>'R &amp; M U'!J7+'Linseed U'!J7+'Safflower U'!J6+'Sunflower U'!K9</f>
        <v>121.07</v>
      </c>
      <c r="K7" s="73">
        <f>'R &amp; M U'!K7+'Linseed U'!K7+'Safflower U'!K6+'Sunflower U'!L9</f>
        <v>120.33300000000001</v>
      </c>
      <c r="L7" s="98">
        <f t="shared" si="0"/>
        <v>1120.8690698999105</v>
      </c>
      <c r="M7" s="98">
        <f t="shared" si="1"/>
        <v>1194.2309343868087</v>
      </c>
      <c r="N7" s="98">
        <f t="shared" si="2"/>
        <v>1093.9141459880457</v>
      </c>
      <c r="O7" s="98">
        <f t="shared" si="3"/>
        <v>1059.2764337897547</v>
      </c>
      <c r="P7" s="98">
        <f t="shared" si="3"/>
        <v>1159.7020103698849</v>
      </c>
    </row>
    <row r="8" spans="1:16" ht="24.75" customHeight="1">
      <c r="A8" s="107" t="s">
        <v>6</v>
      </c>
      <c r="B8" s="73">
        <f>'R &amp; M U'!B8+'Linseed U'!B8+'Safflower U'!B7+'Sunflower U'!C12</f>
        <v>81.9</v>
      </c>
      <c r="C8" s="73">
        <f>'R &amp; M U'!C8+'Linseed U'!C8+'Safflower U'!C7+'Sunflower U'!D12</f>
        <v>73.8</v>
      </c>
      <c r="D8" s="73">
        <f>'R &amp; M U'!D8+'Linseed U'!D8+'Safflower U'!D7+'Sunflower U'!E12</f>
        <v>77.4</v>
      </c>
      <c r="E8" s="73">
        <f>'R &amp; M U'!E8+'Linseed U'!E8+'Safflower U'!E7+'Sunflower U'!F12</f>
        <v>71.2</v>
      </c>
      <c r="F8" s="73">
        <f>'R &amp; M U'!F8+'Linseed U'!F8+'Safflower U'!F7+'Sunflower U'!G12</f>
        <v>82.00000000000001</v>
      </c>
      <c r="G8" s="73">
        <f>'R &amp; M U'!G8+'Linseed U'!G8+'Safflower U'!G7+'Sunflower U'!H12</f>
        <v>34.800000000000004</v>
      </c>
      <c r="H8" s="73">
        <f>'R &amp; M U'!H8+'Linseed U'!H8+'Safflower U'!H7+'Sunflower U'!I12</f>
        <v>37.5</v>
      </c>
      <c r="I8" s="73">
        <f>'R &amp; M U'!I8+'Linseed U'!I8+'Safflower U'!I7+'Sunflower U'!J12</f>
        <v>38.800000000000004</v>
      </c>
      <c r="J8" s="73">
        <f>'R &amp; M U'!J8+'Linseed U'!J8+'Safflower U'!J7+'Sunflower U'!K12</f>
        <v>30.500000000000004</v>
      </c>
      <c r="K8" s="73">
        <f>'R &amp; M U'!K8+'Linseed U'!K8+'Safflower U'!K7+'Sunflower U'!L12</f>
        <v>30.5</v>
      </c>
      <c r="L8" s="98">
        <f t="shared" si="0"/>
        <v>424.90842490842493</v>
      </c>
      <c r="M8" s="98">
        <f t="shared" si="1"/>
        <v>508.13008130081306</v>
      </c>
      <c r="N8" s="98">
        <f t="shared" si="2"/>
        <v>501.29198966408273</v>
      </c>
      <c r="O8" s="98">
        <f t="shared" si="3"/>
        <v>428.37078651685397</v>
      </c>
      <c r="P8" s="98">
        <f t="shared" si="3"/>
        <v>371.95121951219505</v>
      </c>
    </row>
    <row r="9" spans="1:16" ht="24.75" customHeight="1">
      <c r="A9" s="107" t="s">
        <v>7</v>
      </c>
      <c r="B9" s="73">
        <f>'G Nut U'!C11</f>
        <v>2.57</v>
      </c>
      <c r="C9" s="73">
        <f>'G Nut U'!D11</f>
        <v>2.2</v>
      </c>
      <c r="D9" s="73">
        <f>'G Nut U'!E11</f>
        <v>1.91</v>
      </c>
      <c r="E9" s="73">
        <f>'G Nut U'!F11</f>
        <v>1.537</v>
      </c>
      <c r="F9" s="73">
        <f>'G Nut U'!G11</f>
        <v>1.352</v>
      </c>
      <c r="G9" s="73">
        <f>'G Nut U'!H11</f>
        <v>6.123</v>
      </c>
      <c r="H9" s="73">
        <f>'G Nut U'!I11</f>
        <v>5.64</v>
      </c>
      <c r="I9" s="73">
        <f>'G Nut U'!J11</f>
        <v>3.58</v>
      </c>
      <c r="J9" s="73">
        <f>'G Nut U'!K11</f>
        <v>3.298</v>
      </c>
      <c r="K9" s="73">
        <f>'G Nut U'!L11</f>
        <v>3.112</v>
      </c>
      <c r="L9" s="98">
        <f t="shared" si="0"/>
        <v>2382.4902723735413</v>
      </c>
      <c r="M9" s="98">
        <f t="shared" si="1"/>
        <v>2563.6363636363635</v>
      </c>
      <c r="N9" s="98">
        <f t="shared" si="2"/>
        <v>1874.34554973822</v>
      </c>
      <c r="O9" s="98">
        <f t="shared" si="3"/>
        <v>2145.7384515289527</v>
      </c>
      <c r="P9" s="98">
        <f t="shared" si="3"/>
        <v>2301.775147928994</v>
      </c>
    </row>
    <row r="10" spans="1:16" ht="24.75" customHeight="1">
      <c r="A10" s="107" t="s">
        <v>8</v>
      </c>
      <c r="B10" s="73">
        <f>'G Nut U'!C14+'R &amp; M U'!B9+'Safflower U'!B8</f>
        <v>296</v>
      </c>
      <c r="C10" s="73">
        <f>'G Nut U'!D14+'R &amp; M U'!C9+'Safflower U'!C8</f>
        <v>392</v>
      </c>
      <c r="D10" s="73">
        <f>'G Nut U'!E14+'R &amp; M U'!D9+'Safflower U'!D8</f>
        <v>240</v>
      </c>
      <c r="E10" s="73">
        <f>'G Nut U'!F14+'R &amp; M U'!E9+'Safflower U'!E8</f>
        <v>248</v>
      </c>
      <c r="F10" s="73">
        <f>'G Nut U'!G14+'R &amp; M U'!F9+'Safflower U'!F8</f>
        <v>264</v>
      </c>
      <c r="G10" s="73">
        <f>'G Nut U'!H14+'R &amp; M U'!G9+'Safflower U'!G8</f>
        <v>522</v>
      </c>
      <c r="H10" s="73">
        <f>'G Nut U'!I14+'R &amp; M U'!H9+'Safflower U'!H8</f>
        <v>665</v>
      </c>
      <c r="I10" s="73">
        <f>'G Nut U'!J14+'R &amp; M U'!I9+'Safflower U'!I8</f>
        <v>363</v>
      </c>
      <c r="J10" s="73">
        <f>'G Nut U'!K14+'R &amp; M U'!J9+'Safflower U'!J8</f>
        <v>402</v>
      </c>
      <c r="K10" s="73">
        <f>'G Nut U'!L14+'R &amp; M U'!K9+'Safflower U'!K8</f>
        <v>457</v>
      </c>
      <c r="L10" s="98">
        <f t="shared" si="0"/>
        <v>1763.5135135135135</v>
      </c>
      <c r="M10" s="98">
        <f t="shared" si="1"/>
        <v>1696.4285714285713</v>
      </c>
      <c r="N10" s="98">
        <f t="shared" si="2"/>
        <v>1512.5</v>
      </c>
      <c r="O10" s="98">
        <f t="shared" si="3"/>
        <v>1620.9677419354837</v>
      </c>
      <c r="P10" s="98">
        <f t="shared" si="3"/>
        <v>1731.060606060606</v>
      </c>
    </row>
    <row r="11" spans="1:16" ht="25.5" customHeight="1">
      <c r="A11" s="107" t="s">
        <v>35</v>
      </c>
      <c r="B11" s="73">
        <f>'R &amp; M U'!B10</f>
        <v>559</v>
      </c>
      <c r="C11" s="73">
        <f>'R &amp; M U'!C10</f>
        <v>537</v>
      </c>
      <c r="D11" s="73">
        <f>'R &amp; M U'!D10</f>
        <v>493</v>
      </c>
      <c r="E11" s="73">
        <f>'R &amp; M U'!E10</f>
        <v>505</v>
      </c>
      <c r="F11" s="73">
        <f>'R &amp; M U'!F10</f>
        <v>510</v>
      </c>
      <c r="G11" s="73">
        <f>'R &amp; M U'!G10</f>
        <v>962</v>
      </c>
      <c r="H11" s="73">
        <f>'R &amp; M U'!H10</f>
        <v>880</v>
      </c>
      <c r="I11" s="73">
        <f>'R &amp; M U'!I10</f>
        <v>706</v>
      </c>
      <c r="J11" s="73">
        <f>'R &amp; M U'!J10</f>
        <v>805</v>
      </c>
      <c r="K11" s="73">
        <f>'R &amp; M U'!K10</f>
        <v>945</v>
      </c>
      <c r="L11" s="98">
        <f t="shared" si="0"/>
        <v>1720.9302325581396</v>
      </c>
      <c r="M11" s="98">
        <f t="shared" si="1"/>
        <v>1638.733705772812</v>
      </c>
      <c r="N11" s="98">
        <f t="shared" si="2"/>
        <v>1432.048681541582</v>
      </c>
      <c r="O11" s="98">
        <f t="shared" si="3"/>
        <v>1594.0594059405942</v>
      </c>
      <c r="P11" s="98">
        <f t="shared" si="3"/>
        <v>1852.9411764705883</v>
      </c>
    </row>
    <row r="12" spans="1:16" ht="25.5" customHeight="1">
      <c r="A12" s="107" t="s">
        <v>46</v>
      </c>
      <c r="B12" s="73">
        <f>'R &amp; M U'!B11+'Linseed U'!B9</f>
        <v>10.129999999999999</v>
      </c>
      <c r="C12" s="73">
        <f>'R &amp; M U'!C11+'Linseed U'!C9</f>
        <v>9.94</v>
      </c>
      <c r="D12" s="73">
        <f>'R &amp; M U'!D11+'Linseed U'!D9</f>
        <v>9.469999999999999</v>
      </c>
      <c r="E12" s="73">
        <f>'R &amp; M U'!E11+'Linseed U'!E9</f>
        <v>9.404</v>
      </c>
      <c r="F12" s="73">
        <f>'R &amp; M U'!F11+'Linseed U'!F9</f>
        <v>9.728</v>
      </c>
      <c r="G12" s="73">
        <f>'R &amp; M U'!G11+'Linseed U'!G9</f>
        <v>5.0600000000000005</v>
      </c>
      <c r="H12" s="73">
        <f>'R &amp; M U'!H11+'Linseed U'!H9</f>
        <v>4.55</v>
      </c>
      <c r="I12" s="73">
        <f>'R &amp; M U'!I11+'Linseed U'!I9</f>
        <v>4.93</v>
      </c>
      <c r="J12" s="73">
        <f>'R &amp; M U'!J11+'Linseed U'!J9</f>
        <v>4.679</v>
      </c>
      <c r="K12" s="73">
        <f>'R &amp; M U'!K11+'Linseed U'!K9</f>
        <v>4.72</v>
      </c>
      <c r="L12" s="98">
        <f t="shared" si="0"/>
        <v>499.50641658440287</v>
      </c>
      <c r="M12" s="98">
        <f t="shared" si="1"/>
        <v>457.7464788732394</v>
      </c>
      <c r="N12" s="98">
        <f t="shared" si="2"/>
        <v>520.5913410770856</v>
      </c>
      <c r="O12" s="98">
        <f t="shared" si="3"/>
        <v>497.5542322415993</v>
      </c>
      <c r="P12" s="98">
        <f t="shared" si="3"/>
        <v>485.1973684210526</v>
      </c>
    </row>
    <row r="13" spans="1:16" ht="25.5" customHeight="1">
      <c r="A13" s="107" t="s">
        <v>42</v>
      </c>
      <c r="B13" s="73">
        <f>'R &amp; M U'!B12+'Linseed U'!B10</f>
        <v>60.025</v>
      </c>
      <c r="C13" s="73">
        <f>'R &amp; M U'!C12+'Linseed U'!C10</f>
        <v>60.64</v>
      </c>
      <c r="D13" s="73">
        <f>'R &amp; M U'!D12+'Linseed U'!D10</f>
        <v>55.39</v>
      </c>
      <c r="E13" s="73">
        <f>'R &amp; M U'!E12+'Linseed U'!E10</f>
        <v>50.679</v>
      </c>
      <c r="F13" s="73">
        <f>'R &amp; M U'!F12+'Linseed U'!F10</f>
        <v>47.733</v>
      </c>
      <c r="G13" s="73">
        <f>'R &amp; M U'!G12+'Linseed U'!G10</f>
        <v>49.025999999999996</v>
      </c>
      <c r="H13" s="73">
        <f>'R &amp; M U'!H12+'Linseed U'!H10</f>
        <v>56.58</v>
      </c>
      <c r="I13" s="73">
        <f>'R &amp; M U'!I12+'Linseed U'!I10</f>
        <v>38.82</v>
      </c>
      <c r="J13" s="73">
        <f>'R &amp; M U'!J12+'Linseed U'!J10</f>
        <v>31.079892</v>
      </c>
      <c r="K13" s="73">
        <f>'R &amp; M U'!K12+'Linseed U'!K10</f>
        <v>25.068</v>
      </c>
      <c r="L13" s="98">
        <f t="shared" si="0"/>
        <v>816.7596834652228</v>
      </c>
      <c r="M13" s="98">
        <f t="shared" si="1"/>
        <v>933.0474934036938</v>
      </c>
      <c r="N13" s="98">
        <f t="shared" si="2"/>
        <v>700.8485286152735</v>
      </c>
      <c r="O13" s="98">
        <f t="shared" si="3"/>
        <v>613.2696383117268</v>
      </c>
      <c r="P13" s="98">
        <f t="shared" si="3"/>
        <v>525.1712651624663</v>
      </c>
    </row>
    <row r="14" spans="1:16" ht="25.5" customHeight="1">
      <c r="A14" s="107" t="s">
        <v>51</v>
      </c>
      <c r="B14" s="73">
        <f>'R &amp; M U'!B13+'Linseed U'!B11+'Safflower U'!B9+'Sunflower U'!C16</f>
        <v>212.66000000000003</v>
      </c>
      <c r="C14" s="73">
        <f>'R &amp; M U'!C13+'Linseed U'!C11+'Safflower U'!C9+'Sunflower U'!D16</f>
        <v>242.974</v>
      </c>
      <c r="D14" s="73">
        <f>'R &amp; M U'!D13+'Linseed U'!D11+'Safflower U'!D9+'Sunflower U'!E16</f>
        <v>231.28000000000003</v>
      </c>
      <c r="E14" s="73">
        <f>'R &amp; M U'!E13+'Linseed U'!E11+'Safflower U'!E9+'Sunflower U'!F16</f>
        <v>221.41</v>
      </c>
      <c r="F14" s="73">
        <f>'R &amp; M U'!F13+'Linseed U'!F11+'Safflower U'!F9+'Sunflower U'!G16</f>
        <v>313.949</v>
      </c>
      <c r="G14" s="73">
        <f>'R &amp; M U'!G13+'Linseed U'!G11+'Safflower U'!G9+'Sunflower U'!H16</f>
        <v>162.91</v>
      </c>
      <c r="H14" s="73">
        <f>'R &amp; M U'!H13+'Linseed U'!H11+'Safflower U'!H9+'Sunflower U'!I16</f>
        <v>151.23600000000002</v>
      </c>
      <c r="I14" s="73">
        <f>'R &amp; M U'!I13+'Linseed U'!I11+'Safflower U'!I9+'Sunflower U'!J16</f>
        <v>147.1</v>
      </c>
      <c r="J14" s="73">
        <f>'R &amp; M U'!J13+'Linseed U'!J11+'Safflower U'!J9+'Sunflower U'!K16</f>
        <v>150.086</v>
      </c>
      <c r="K14" s="73">
        <f>'R &amp; M U'!K13+'Linseed U'!K11+'Safflower U'!K9+'Sunflower U'!L16</f>
        <v>223.57199999999997</v>
      </c>
      <c r="L14" s="98">
        <f t="shared" si="0"/>
        <v>766.0584971315714</v>
      </c>
      <c r="M14" s="98">
        <f t="shared" si="1"/>
        <v>622.4369685645379</v>
      </c>
      <c r="N14" s="98">
        <f t="shared" si="2"/>
        <v>636.0255966793495</v>
      </c>
      <c r="O14" s="98">
        <f t="shared" si="3"/>
        <v>677.8645950950726</v>
      </c>
      <c r="P14" s="98">
        <f t="shared" si="3"/>
        <v>712.1284030208726</v>
      </c>
    </row>
    <row r="15" spans="1:16" ht="25.5" customHeight="1">
      <c r="A15" s="107" t="s">
        <v>11</v>
      </c>
      <c r="B15" s="73">
        <f>'G Nut U'!C21+'R &amp; M U'!B14+'Linseed U'!B12+'Safflower U'!B10+'Sunflower U'!C19</f>
        <v>540</v>
      </c>
      <c r="C15" s="73">
        <f>'G Nut U'!D21+'R &amp; M U'!C14+'Linseed U'!C12+'Safflower U'!C10+'Sunflower U'!D19</f>
        <v>464</v>
      </c>
      <c r="D15" s="73">
        <f>'G Nut U'!E21+'R &amp; M U'!D14+'Linseed U'!D12+'Safflower U'!D10+'Sunflower U'!E19</f>
        <v>416</v>
      </c>
      <c r="E15" s="73">
        <f>'G Nut U'!F21+'R &amp; M U'!E14+'Linseed U'!E12+'Safflower U'!E10+'Sunflower U'!F19</f>
        <v>430</v>
      </c>
      <c r="F15" s="73">
        <f>'G Nut U'!G21+'R &amp; M U'!F14+'Linseed U'!F12+'Safflower U'!F10+'Sunflower U'!G19</f>
        <v>294</v>
      </c>
      <c r="G15" s="73">
        <f>'G Nut U'!H21+'R &amp; M U'!G14+'Linseed U'!G12+'Safflower U'!G10+'Sunflower U'!H19</f>
        <v>359.331</v>
      </c>
      <c r="H15" s="73">
        <f>'G Nut U'!I21+'R &amp; M U'!H14+'Linseed U'!H12+'Safflower U'!H10+'Sunflower U'!I19</f>
        <v>347</v>
      </c>
      <c r="I15" s="73">
        <f>'G Nut U'!J21+'R &amp; M U'!I14+'Linseed U'!I12+'Safflower U'!I10+'Sunflower U'!J19</f>
        <v>303</v>
      </c>
      <c r="J15" s="73">
        <f>'G Nut U'!K21+'R &amp; M U'!J14+'Linseed U'!J12+'Safflower U'!J10+'Sunflower U'!K19</f>
        <v>253.67974999999998</v>
      </c>
      <c r="K15" s="73">
        <f>'G Nut U'!L21+'R &amp; M U'!K14+'Linseed U'!K12+'Safflower U'!K10+'Sunflower U'!L19</f>
        <v>214.8</v>
      </c>
      <c r="L15" s="98">
        <f t="shared" si="0"/>
        <v>665.4277777777778</v>
      </c>
      <c r="M15" s="98">
        <f t="shared" si="1"/>
        <v>747.8448275862069</v>
      </c>
      <c r="N15" s="98">
        <f t="shared" si="2"/>
        <v>728.3653846153845</v>
      </c>
      <c r="O15" s="98">
        <f t="shared" si="3"/>
        <v>589.9529069767442</v>
      </c>
      <c r="P15" s="98">
        <f t="shared" si="3"/>
        <v>730.6122448979592</v>
      </c>
    </row>
    <row r="16" spans="1:16" ht="25.5" customHeight="1">
      <c r="A16" s="107" t="s">
        <v>12</v>
      </c>
      <c r="B16" s="73">
        <f>'G Nut U'!C24+'Linseed U'!B13</f>
        <v>0.009</v>
      </c>
      <c r="C16" s="73">
        <f>'G Nut U'!D24+'Linseed U'!C13</f>
        <v>0.43</v>
      </c>
      <c r="D16" s="73">
        <f>'G Nut U'!E24+'Linseed U'!D13</f>
        <v>0.01</v>
      </c>
      <c r="E16" s="73">
        <f>'G Nut U'!F24+'Linseed U'!E13</f>
        <v>0</v>
      </c>
      <c r="F16" s="73">
        <f>'G Nut U'!G24+'Linseed U'!F13</f>
        <v>4</v>
      </c>
      <c r="G16" s="73">
        <f>'G Nut U'!H24+'Linseed U'!G13</f>
        <v>0.01</v>
      </c>
      <c r="H16" s="73">
        <f>'G Nut U'!I24+'Linseed U'!H13</f>
        <v>0.52</v>
      </c>
      <c r="I16" s="73">
        <f>'G Nut U'!J24+'Linseed U'!I13</f>
        <v>0.02</v>
      </c>
      <c r="J16" s="73">
        <f>'G Nut U'!K24+'Linseed U'!J13</f>
        <v>0</v>
      </c>
      <c r="K16" s="73">
        <f>'G Nut U'!L24+'Linseed U'!K13</f>
        <v>0</v>
      </c>
      <c r="L16" s="98">
        <f t="shared" si="0"/>
        <v>1111.111111111111</v>
      </c>
      <c r="M16" s="98">
        <f t="shared" si="1"/>
        <v>1209.3023255813955</v>
      </c>
      <c r="N16" s="98">
        <f t="shared" si="2"/>
        <v>2000</v>
      </c>
      <c r="O16" s="98">
        <v>0</v>
      </c>
      <c r="P16" s="98">
        <f t="shared" si="3"/>
        <v>0</v>
      </c>
    </row>
    <row r="17" spans="1:16" ht="25.5" customHeight="1">
      <c r="A17" s="107" t="s">
        <v>13</v>
      </c>
      <c r="B17" s="73">
        <f>'R &amp; M U'!B16+'Linseed U'!B14+'Safflower U'!B11+'Sunflower U'!C22</f>
        <v>894.4000000000001</v>
      </c>
      <c r="C17" s="73">
        <f>'R &amp; M U'!C16+'Linseed U'!C14+'Safflower U'!C11+'Sunflower U'!D22</f>
        <v>872.6</v>
      </c>
      <c r="D17" s="73">
        <f>'R &amp; M U'!D16+'Linseed U'!D14+'Safflower U'!D11+'Sunflower U'!E22</f>
        <v>853</v>
      </c>
      <c r="E17" s="73">
        <f>'R &amp; M U'!E16+'Linseed U'!E14+'Safflower U'!E11+'Sunflower U'!F22</f>
        <v>743</v>
      </c>
      <c r="F17" s="73">
        <f>'R &amp; M U'!F16+'Linseed U'!F14+'Safflower U'!F11+'Sunflower U'!G22</f>
        <v>861</v>
      </c>
      <c r="G17" s="73">
        <f>'R &amp; M U'!G16+'Linseed U'!G14+'Safflower U'!G11+'Sunflower U'!H22</f>
        <v>976.5589</v>
      </c>
      <c r="H17" s="73">
        <f>'R &amp; M U'!H16+'Linseed U'!H14+'Safflower U'!H11+'Sunflower U'!I22</f>
        <v>899.3960000000001</v>
      </c>
      <c r="I17" s="73">
        <f>'R &amp; M U'!I16+'Linseed U'!I14+'Safflower U'!I11+'Sunflower U'!J22</f>
        <v>798.2</v>
      </c>
      <c r="J17" s="73">
        <f>'R &amp; M U'!J16+'Linseed U'!J14+'Safflower U'!J11+'Sunflower U'!K22</f>
        <v>726</v>
      </c>
      <c r="K17" s="73">
        <f>'R &amp; M U'!K16+'Linseed U'!K14+'Safflower U'!K11+'Sunflower U'!L22</f>
        <v>998</v>
      </c>
      <c r="L17" s="98">
        <f t="shared" si="0"/>
        <v>1091.8592352415026</v>
      </c>
      <c r="M17" s="98">
        <f t="shared" si="1"/>
        <v>1030.7082282832914</v>
      </c>
      <c r="N17" s="98">
        <f t="shared" si="2"/>
        <v>935.7561547479485</v>
      </c>
      <c r="O17" s="98">
        <f t="shared" si="3"/>
        <v>977.1197846567967</v>
      </c>
      <c r="P17" s="98">
        <f t="shared" si="3"/>
        <v>1159.117305458769</v>
      </c>
    </row>
    <row r="18" spans="1:16" ht="25.5" customHeight="1">
      <c r="A18" s="107" t="s">
        <v>14</v>
      </c>
      <c r="B18" s="73">
        <f>'G Nut U'!C28+'R &amp; M U'!B17+'Linseed U'!B15+'Safflower U'!B12+'Sunflower U'!C25</f>
        <v>216</v>
      </c>
      <c r="C18" s="73">
        <f>'G Nut U'!D28+'R &amp; M U'!C17+'Linseed U'!C15+'Safflower U'!C12+'Sunflower U'!D25</f>
        <v>256</v>
      </c>
      <c r="D18" s="73">
        <f>'G Nut U'!E28+'R &amp; M U'!D17+'Linseed U'!D15+'Safflower U'!D12+'Sunflower U'!E25</f>
        <v>272</v>
      </c>
      <c r="E18" s="73">
        <f>'G Nut U'!F28+'R &amp; M U'!E17+'Linseed U'!E15+'Safflower U'!E12+'Sunflower U'!F25</f>
        <v>197</v>
      </c>
      <c r="F18" s="73">
        <f>'G Nut U'!G28+'R &amp; M U'!F17+'Linseed U'!F15+'Safflower U'!F12+'Sunflower U'!G25</f>
        <v>257.4</v>
      </c>
      <c r="G18" s="73">
        <f>'G Nut U'!H28+'R &amp; M U'!G17+'Linseed U'!G15+'Safflower U'!G12+'Sunflower U'!H25</f>
        <v>137</v>
      </c>
      <c r="H18" s="73">
        <f>'G Nut U'!I28+'R &amp; M U'!H17+'Linseed U'!H15+'Safflower U'!H12+'Sunflower U'!I25</f>
        <v>194</v>
      </c>
      <c r="I18" s="73">
        <f>'G Nut U'!J28+'R &amp; M U'!I17+'Linseed U'!I15+'Safflower U'!I12+'Sunflower U'!J25</f>
        <v>192</v>
      </c>
      <c r="J18" s="73">
        <f>'G Nut U'!K28+'R &amp; M U'!J17+'Linseed U'!J15+'Safflower U'!J12+'Sunflower U'!K25</f>
        <v>145</v>
      </c>
      <c r="K18" s="73">
        <f>'G Nut U'!L28+'R &amp; M U'!K17+'Linseed U'!K15+'Safflower U'!K12+'Sunflower U'!L25</f>
        <v>221.8</v>
      </c>
      <c r="L18" s="98">
        <f t="shared" si="0"/>
        <v>634.2592592592594</v>
      </c>
      <c r="M18" s="98">
        <f t="shared" si="1"/>
        <v>757.8125</v>
      </c>
      <c r="N18" s="98">
        <f t="shared" si="2"/>
        <v>705.8823529411765</v>
      </c>
      <c r="O18" s="98">
        <f t="shared" si="3"/>
        <v>736.0406091370559</v>
      </c>
      <c r="P18" s="98">
        <f t="shared" si="3"/>
        <v>861.6938616938619</v>
      </c>
    </row>
    <row r="19" spans="1:16" ht="25.5" customHeight="1">
      <c r="A19" s="107" t="s">
        <v>37</v>
      </c>
      <c r="B19" s="73">
        <f>'G Nut U'!C31+'R &amp; M U'!B18</f>
        <v>36.25</v>
      </c>
      <c r="C19" s="73">
        <f>'G Nut U'!D31+'R &amp; M U'!C18</f>
        <v>28.5</v>
      </c>
      <c r="D19" s="73">
        <f>'G Nut U'!E31+'R &amp; M U'!D18</f>
        <v>28.27</v>
      </c>
      <c r="E19" s="73">
        <f>'G Nut U'!F31+'R &amp; M U'!E18</f>
        <v>32.38</v>
      </c>
      <c r="F19" s="73">
        <f>'G Nut U'!G31+'R &amp; M U'!F18</f>
        <v>32.51</v>
      </c>
      <c r="G19" s="73">
        <f>'G Nut U'!H31+'R &amp; M U'!G18</f>
        <v>30.810000000000002</v>
      </c>
      <c r="H19" s="73">
        <f>'G Nut U'!I31+'R &amp; M U'!H18</f>
        <v>23.85</v>
      </c>
      <c r="I19" s="73">
        <f>'G Nut U'!J31+'R &amp; M U'!I18</f>
        <v>24.52</v>
      </c>
      <c r="J19" s="73">
        <f>'G Nut U'!K31+'R &amp; M U'!J18</f>
        <v>27.49</v>
      </c>
      <c r="K19" s="73">
        <f>'G Nut U'!L31+'R &amp; M U'!K18</f>
        <v>27.9</v>
      </c>
      <c r="L19" s="98">
        <f t="shared" si="0"/>
        <v>849.9310344827586</v>
      </c>
      <c r="M19" s="98">
        <f t="shared" si="1"/>
        <v>836.8421052631579</v>
      </c>
      <c r="N19" s="98">
        <f t="shared" si="2"/>
        <v>867.3505482844004</v>
      </c>
      <c r="O19" s="98">
        <f t="shared" si="3"/>
        <v>848.980852378011</v>
      </c>
      <c r="P19" s="98">
        <f t="shared" si="3"/>
        <v>858.1974776991696</v>
      </c>
    </row>
    <row r="20" spans="1:16" ht="25.5" customHeight="1">
      <c r="A20" s="107" t="s">
        <v>38</v>
      </c>
      <c r="B20" s="73">
        <f>'R &amp; M U'!B19+'Linseed U'!B16</f>
        <v>7.265000000000001</v>
      </c>
      <c r="C20" s="73">
        <f>'R &amp; M U'!C19+'Linseed U'!C16</f>
        <v>9.85</v>
      </c>
      <c r="D20" s="73">
        <f>'R &amp; M U'!D19+'Linseed U'!D16</f>
        <v>9.87</v>
      </c>
      <c r="E20" s="73">
        <f>'R &amp; M U'!E19+'Linseed U'!E16</f>
        <v>9.876999999999999</v>
      </c>
      <c r="F20" s="73">
        <f>'R &amp; M U'!F19+'Linseed U'!F16</f>
        <v>9.94</v>
      </c>
      <c r="G20" s="73">
        <f>'R &amp; M U'!G19+'Linseed U'!G16</f>
        <v>4.86</v>
      </c>
      <c r="H20" s="73">
        <f>'R &amp; M U'!H19+'Linseed U'!H16</f>
        <v>9.200000000000001</v>
      </c>
      <c r="I20" s="73">
        <f>'R &amp; M U'!I19+'Linseed U'!I16</f>
        <v>9.4</v>
      </c>
      <c r="J20" s="73">
        <f>'R &amp; M U'!J19+'Linseed U'!J16</f>
        <v>9.519</v>
      </c>
      <c r="K20" s="73">
        <f>'R &amp; M U'!K19+'Linseed U'!K16</f>
        <v>9.25</v>
      </c>
      <c r="L20" s="98">
        <f t="shared" si="0"/>
        <v>668.9607708189952</v>
      </c>
      <c r="M20" s="98">
        <f t="shared" si="1"/>
        <v>934.0101522842641</v>
      </c>
      <c r="N20" s="98">
        <f t="shared" si="2"/>
        <v>952.3809523809524</v>
      </c>
      <c r="O20" s="98">
        <f t="shared" si="3"/>
        <v>963.754176369343</v>
      </c>
      <c r="P20" s="98">
        <f t="shared" si="3"/>
        <v>930.5835010060363</v>
      </c>
    </row>
    <row r="21" spans="1:16" ht="25.5" customHeight="1">
      <c r="A21" s="107" t="s">
        <v>39</v>
      </c>
      <c r="B21" s="73">
        <f>'R &amp; M U'!B20</f>
        <v>0.29</v>
      </c>
      <c r="C21" s="73">
        <f>'R &amp; M U'!C20</f>
        <v>0.3</v>
      </c>
      <c r="D21" s="73">
        <f>'R &amp; M U'!D20</f>
        <v>0.31</v>
      </c>
      <c r="E21" s="73">
        <f>'R &amp; M U'!E20</f>
        <v>0.743</v>
      </c>
      <c r="F21" s="73">
        <f>'R &amp; M U'!F20</f>
        <v>0.326</v>
      </c>
      <c r="G21" s="73">
        <f>'R &amp; M U'!G20</f>
        <v>0.2</v>
      </c>
      <c r="H21" s="73">
        <f>'R &amp; M U'!H20</f>
        <v>0.33</v>
      </c>
      <c r="I21" s="73">
        <f>'R &amp; M U'!I20</f>
        <v>0.31</v>
      </c>
      <c r="J21" s="73">
        <f>'R &amp; M U'!J20</f>
        <v>0.694</v>
      </c>
      <c r="K21" s="73">
        <f>'R &amp; M U'!K20</f>
        <v>0.327</v>
      </c>
      <c r="L21" s="98">
        <f t="shared" si="0"/>
        <v>689.6551724137931</v>
      </c>
      <c r="M21" s="98">
        <f t="shared" si="1"/>
        <v>1100</v>
      </c>
      <c r="N21" s="98">
        <f t="shared" si="2"/>
        <v>1000</v>
      </c>
      <c r="O21" s="98">
        <f t="shared" si="3"/>
        <v>934.0511440107671</v>
      </c>
      <c r="P21" s="98">
        <f t="shared" si="3"/>
        <v>1003.0674846625767</v>
      </c>
    </row>
    <row r="22" spans="1:16" ht="25.5" customHeight="1">
      <c r="A22" s="107" t="s">
        <v>15</v>
      </c>
      <c r="B22" s="73">
        <f>'R &amp; M U'!B21+'Linseed U'!B17+'Sunflower U'!C28</f>
        <v>34.93000000000001</v>
      </c>
      <c r="C22" s="73">
        <f>'R &amp; M U'!C21+'Linseed U'!C17+'Sunflower U'!D28</f>
        <v>35.01</v>
      </c>
      <c r="D22" s="73">
        <f>'R &amp; M U'!D21+'Linseed U'!D17+'Sunflower U'!E28</f>
        <v>35.150000000000006</v>
      </c>
      <c r="E22" s="73">
        <f>'R &amp; M U'!E21+'Linseed U'!E17+'Sunflower U'!F28</f>
        <v>35.5</v>
      </c>
      <c r="F22" s="73">
        <f>'R &amp; M U'!F21+'Linseed U'!F17+'Sunflower U'!G28</f>
        <v>35.43</v>
      </c>
      <c r="G22" s="73">
        <f>'R &amp; M U'!G21+'Linseed U'!G17+'Sunflower U'!H28</f>
        <v>33.28</v>
      </c>
      <c r="H22" s="73">
        <f>'R &amp; M U'!H21+'Linseed U'!H17+'Sunflower U'!I28</f>
        <v>33.4</v>
      </c>
      <c r="I22" s="73">
        <f>'R &amp; M U'!I21+'Linseed U'!I17+'Sunflower U'!J28</f>
        <v>33.550000000000004</v>
      </c>
      <c r="J22" s="73">
        <f>'R &amp; M U'!J21+'Linseed U'!J17+'Sunflower U'!K28</f>
        <v>33.849999999999994</v>
      </c>
      <c r="K22" s="73">
        <f>'R &amp; M U'!K21+'Linseed U'!K17+'Sunflower U'!L28</f>
        <v>33.83</v>
      </c>
      <c r="L22" s="98">
        <f t="shared" si="0"/>
        <v>952.7626681935297</v>
      </c>
      <c r="M22" s="98">
        <f t="shared" si="1"/>
        <v>954.0131391031134</v>
      </c>
      <c r="N22" s="98">
        <f t="shared" si="2"/>
        <v>954.4807965860597</v>
      </c>
      <c r="O22" s="98">
        <f t="shared" si="3"/>
        <v>953.5211267605632</v>
      </c>
      <c r="P22" s="98">
        <f t="shared" si="3"/>
        <v>954.8405306237652</v>
      </c>
    </row>
    <row r="23" spans="1:16" ht="25.5" customHeight="1">
      <c r="A23" s="107" t="s">
        <v>111</v>
      </c>
      <c r="B23" s="73">
        <f>'G Nut U'!C39+'R &amp; M U'!B22+'Linseed U'!B18+'Safflower U'!B13+'Sunflower U'!C31</f>
        <v>104.60700000000001</v>
      </c>
      <c r="C23" s="73">
        <f>'G Nut U'!D39+'R &amp; M U'!C22+'Linseed U'!C18+'Safflower U'!C13+'Sunflower U'!D31</f>
        <v>95.83</v>
      </c>
      <c r="D23" s="73">
        <f>'G Nut U'!E39+'R &amp; M U'!D22+'Linseed U'!D18+'Safflower U'!D13+'Sunflower U'!E31</f>
        <v>82.51</v>
      </c>
      <c r="E23" s="73">
        <f>'G Nut U'!F39+'R &amp; M U'!E22+'Linseed U'!E18+'Safflower U'!E13+'Sunflower U'!F31</f>
        <v>76.96</v>
      </c>
      <c r="F23" s="73">
        <f>'G Nut U'!G39+'R &amp; M U'!F22+'Linseed U'!F18+'Safflower U'!F13+'Sunflower U'!G31</f>
        <v>63.33</v>
      </c>
      <c r="G23" s="73">
        <f>'G Nut U'!H39+'R &amp; M U'!G22+'Linseed U'!G18+'Safflower U'!G13+'Sunflower U'!H31</f>
        <v>99.39999999999999</v>
      </c>
      <c r="H23" s="73">
        <f>'G Nut U'!I39+'R &amp; M U'!H22+'Linseed U'!H18+'Safflower U'!H13+'Sunflower U'!I31</f>
        <v>102.6</v>
      </c>
      <c r="I23" s="73">
        <f>'G Nut U'!J39+'R &amp; M U'!I22+'Linseed U'!I18+'Safflower U'!I13+'Sunflower U'!J31</f>
        <v>78.88000000000001</v>
      </c>
      <c r="J23" s="73">
        <f>'G Nut U'!K39+'R &amp; M U'!J22+'Linseed U'!J18+'Safflower U'!J13+'Sunflower U'!K31</f>
        <v>71.22389999999999</v>
      </c>
      <c r="K23" s="73">
        <f>'G Nut U'!L39+'R &amp; M U'!K22+'Linseed U'!K18+'Safflower U'!K13+'Sunflower U'!L31</f>
        <v>62.29</v>
      </c>
      <c r="L23" s="98">
        <f t="shared" si="0"/>
        <v>950.2232164195511</v>
      </c>
      <c r="M23" s="98">
        <f t="shared" si="1"/>
        <v>1070.6459355108002</v>
      </c>
      <c r="N23" s="98">
        <f t="shared" si="2"/>
        <v>956.0053326869471</v>
      </c>
      <c r="O23" s="98">
        <f t="shared" si="3"/>
        <v>925.466476091476</v>
      </c>
      <c r="P23" s="98">
        <f t="shared" si="3"/>
        <v>983.578083057003</v>
      </c>
    </row>
    <row r="24" spans="1:16" ht="25.5" customHeight="1">
      <c r="A24" s="107" t="s">
        <v>17</v>
      </c>
      <c r="B24" s="73">
        <f>'R &amp; M U'!B23+'Sunflower U'!C33</f>
        <v>44.6</v>
      </c>
      <c r="C24" s="73">
        <f>'R &amp; M U'!C23+'Sunflower U'!D33</f>
        <v>42.7</v>
      </c>
      <c r="D24" s="73">
        <f>'R &amp; M U'!D23+'Sunflower U'!E33</f>
        <v>39.5</v>
      </c>
      <c r="E24" s="73">
        <f>'R &amp; M U'!E23+'Sunflower U'!F33</f>
        <v>37.4</v>
      </c>
      <c r="F24" s="73">
        <f>'R &amp; M U'!F23+'Sunflower U'!G33</f>
        <v>37.5</v>
      </c>
      <c r="G24" s="73">
        <f>'R &amp; M U'!G23+'Sunflower U'!H33</f>
        <v>64.7</v>
      </c>
      <c r="H24" s="73">
        <f>'R &amp; M U'!H23+'Sunflower U'!I33</f>
        <v>60.4</v>
      </c>
      <c r="I24" s="73">
        <f>'R &amp; M U'!I23+'Sunflower U'!J33</f>
        <v>53.7</v>
      </c>
      <c r="J24" s="73">
        <f>'R &amp; M U'!J23+'Sunflower U'!K33</f>
        <v>53.3</v>
      </c>
      <c r="K24" s="73">
        <f>'R &amp; M U'!K23+'Sunflower U'!L33</f>
        <v>54.4</v>
      </c>
      <c r="L24" s="98">
        <f t="shared" si="0"/>
        <v>1450.6726457399104</v>
      </c>
      <c r="M24" s="98">
        <f t="shared" si="1"/>
        <v>1414.5199063231848</v>
      </c>
      <c r="N24" s="98">
        <f t="shared" si="2"/>
        <v>1359.4936708860762</v>
      </c>
      <c r="O24" s="98">
        <f t="shared" si="3"/>
        <v>1425.133689839572</v>
      </c>
      <c r="P24" s="98">
        <f t="shared" si="3"/>
        <v>1450.6666666666665</v>
      </c>
    </row>
    <row r="25" spans="1:16" ht="25.5" customHeight="1">
      <c r="A25" s="107" t="s">
        <v>18</v>
      </c>
      <c r="B25" s="73">
        <f>'G Nut U'!C43+'R &amp; M U'!B24+'Linseed U'!B20</f>
        <v>2836.4999999999995</v>
      </c>
      <c r="C25" s="73">
        <f>'G Nut U'!D43+'R &amp; M U'!C24+'Linseed U'!C20</f>
        <v>3081.05</v>
      </c>
      <c r="D25" s="73">
        <f>'G Nut U'!E43+'R &amp; M U'!D24+'Linseed U'!D20</f>
        <v>2476.94</v>
      </c>
      <c r="E25" s="73">
        <f>'G Nut U'!F43+'R &amp; M U'!E24+'Linseed U'!E20</f>
        <v>2534.1749999999997</v>
      </c>
      <c r="F25" s="73">
        <f>'G Nut U'!G43+'R &amp; M U'!F24+'Linseed U'!F20</f>
        <v>2598.551</v>
      </c>
      <c r="G25" s="73">
        <f>'G Nut U'!H43+'R &amp; M U'!G24+'Linseed U'!G20</f>
        <v>3816.491</v>
      </c>
      <c r="H25" s="73">
        <f>'G Nut U'!I43+'R &amp; M U'!H24+'Linseed U'!H20</f>
        <v>3799.9919999999997</v>
      </c>
      <c r="I25" s="73">
        <f>'G Nut U'!J43+'R &amp; M U'!I24+'Linseed U'!I20</f>
        <v>2899</v>
      </c>
      <c r="J25" s="73">
        <f>'G Nut U'!K43+'R &amp; M U'!J24+'Linseed U'!J20</f>
        <v>3259.856</v>
      </c>
      <c r="K25" s="73">
        <f>'G Nut U'!L43+'R &amp; M U'!K24+'Linseed U'!K20</f>
        <v>3684.3682</v>
      </c>
      <c r="L25" s="98">
        <f t="shared" si="0"/>
        <v>1345.4930371937248</v>
      </c>
      <c r="M25" s="98">
        <f t="shared" si="1"/>
        <v>1233.3431784618879</v>
      </c>
      <c r="N25" s="98">
        <f t="shared" si="2"/>
        <v>1170.395730215508</v>
      </c>
      <c r="O25" s="98">
        <f t="shared" si="3"/>
        <v>1286.3578876754764</v>
      </c>
      <c r="P25" s="98">
        <f t="shared" si="3"/>
        <v>1417.854873735401</v>
      </c>
    </row>
    <row r="26" spans="1:16" ht="25.5" customHeight="1">
      <c r="A26" s="107" t="s">
        <v>52</v>
      </c>
      <c r="B26" s="73">
        <f>'R &amp; M U'!B25</f>
        <v>4.38</v>
      </c>
      <c r="C26" s="73">
        <f>'R &amp; M U'!C25</f>
        <v>4.07</v>
      </c>
      <c r="D26" s="73">
        <f>'R &amp; M U'!D25</f>
        <v>3.86</v>
      </c>
      <c r="E26" s="73">
        <f>'R &amp; M U'!E25</f>
        <v>3.66</v>
      </c>
      <c r="F26" s="73">
        <f>'R &amp; M U'!F25</f>
        <v>3.67</v>
      </c>
      <c r="G26" s="73">
        <f>'R &amp; M U'!G25</f>
        <v>3.5</v>
      </c>
      <c r="H26" s="73">
        <f>'R &amp; M U'!H25</f>
        <v>3.38</v>
      </c>
      <c r="I26" s="73">
        <f>'R &amp; M U'!I25</f>
        <v>3.21</v>
      </c>
      <c r="J26" s="73">
        <f>'R &amp; M U'!J25</f>
        <v>3.12</v>
      </c>
      <c r="K26" s="73">
        <f>'R &amp; M U'!K25</f>
        <v>3.18</v>
      </c>
      <c r="L26" s="98">
        <f t="shared" si="0"/>
        <v>799.0867579908676</v>
      </c>
      <c r="M26" s="98">
        <f t="shared" si="1"/>
        <v>830.4668304668303</v>
      </c>
      <c r="N26" s="98">
        <f t="shared" si="2"/>
        <v>831.6062176165804</v>
      </c>
      <c r="O26" s="98">
        <f t="shared" si="3"/>
        <v>852.4590163934425</v>
      </c>
      <c r="P26" s="98">
        <f t="shared" si="3"/>
        <v>866.4850136239783</v>
      </c>
    </row>
    <row r="27" spans="1:16" ht="25.5" customHeight="1">
      <c r="A27" s="107" t="s">
        <v>19</v>
      </c>
      <c r="B27" s="73">
        <f>'G Nut U'!C46+'R &amp; M U'!B26+'Sunflower U'!C36</f>
        <v>121.27</v>
      </c>
      <c r="C27" s="73">
        <f>'G Nut U'!D46+'R &amp; M U'!C26+'Sunflower U'!D36</f>
        <v>127.21</v>
      </c>
      <c r="D27" s="73">
        <f>'G Nut U'!E46+'R &amp; M U'!D26+'Sunflower U'!E36</f>
        <v>132.65</v>
      </c>
      <c r="E27" s="73">
        <f>'G Nut U'!F46+'R &amp; M U'!E26+'Sunflower U'!F36</f>
        <v>130.47</v>
      </c>
      <c r="F27" s="73">
        <f>'G Nut U'!G46+'R &amp; M U'!F26+'Sunflower U'!G36</f>
        <v>93.46</v>
      </c>
      <c r="G27" s="73">
        <f>'G Nut U'!H46+'R &amp; M U'!G26+'Sunflower U'!H36</f>
        <v>368.71799999999996</v>
      </c>
      <c r="H27" s="73">
        <f>'G Nut U'!I46+'R &amp; M U'!H26+'Sunflower U'!I36</f>
        <v>447.03000000000003</v>
      </c>
      <c r="I27" s="73">
        <f>'G Nut U'!J46+'R &amp; M U'!I26+'Sunflower U'!J36</f>
        <v>442.83</v>
      </c>
      <c r="J27" s="73">
        <f>'G Nut U'!K46+'R &amp; M U'!J26+'Sunflower U'!K36</f>
        <v>413.74999999999994</v>
      </c>
      <c r="K27" s="73">
        <f>'G Nut U'!L46+'R &amp; M U'!K26+'Sunflower U'!L36</f>
        <v>284.94000000000005</v>
      </c>
      <c r="L27" s="98">
        <f t="shared" si="0"/>
        <v>3040.4716747752946</v>
      </c>
      <c r="M27" s="98">
        <f t="shared" si="1"/>
        <v>3514.1105259020524</v>
      </c>
      <c r="N27" s="98">
        <f t="shared" si="2"/>
        <v>3338.3339615529585</v>
      </c>
      <c r="O27" s="98">
        <f t="shared" si="3"/>
        <v>3171.2271020157887</v>
      </c>
      <c r="P27" s="98">
        <f t="shared" si="3"/>
        <v>3048.7909265996154</v>
      </c>
    </row>
    <row r="28" spans="1:16" ht="25.5" customHeight="1">
      <c r="A28" s="107" t="s">
        <v>116</v>
      </c>
      <c r="B28" s="73">
        <f>'G Nut U'!C49+'R &amp; M U'!B27+'Safflower U'!B15+'Sunflower U'!C39</f>
        <v>208</v>
      </c>
      <c r="C28" s="73">
        <f>'G Nut U'!D49+'R &amp; M U'!C27+'Safflower U'!C15+'Sunflower U'!D39</f>
        <v>206.67999999999998</v>
      </c>
      <c r="D28" s="73">
        <f>'G Nut U'!E49+'R &amp; M U'!D27+'Safflower U'!D15+'Sunflower U'!E39</f>
        <v>165</v>
      </c>
      <c r="E28" s="73">
        <f>'G Nut U'!F49+'R &amp; M U'!E27+'Safflower U'!E15+'Sunflower U'!F39</f>
        <v>130</v>
      </c>
      <c r="F28" s="73">
        <f>'G Nut U'!G49+'R &amp; M U'!F27+'Safflower U'!F15+'Sunflower U'!G39</f>
        <v>152</v>
      </c>
      <c r="G28" s="73">
        <f>'G Nut U'!H49+'R &amp; M U'!G27+'Safflower U'!G15+'Sunflower U'!H39</f>
        <v>349.68</v>
      </c>
      <c r="H28" s="73">
        <f>'G Nut U'!I49+'R &amp; M U'!H27+'Safflower U'!H15+'Sunflower U'!I39</f>
        <v>339.71999999999997</v>
      </c>
      <c r="I28" s="73">
        <f>'G Nut U'!J49+'R &amp; M U'!I27+'Safflower U'!I15+'Sunflower U'!J39</f>
        <v>305</v>
      </c>
      <c r="J28" s="73">
        <f>'G Nut U'!K49+'R &amp; M U'!J27+'Safflower U'!J15+'Sunflower U'!K39</f>
        <v>202</v>
      </c>
      <c r="K28" s="73">
        <f>'G Nut U'!L49+'R &amp; M U'!K27+'Safflower U'!K15+'Sunflower U'!L39</f>
        <v>307</v>
      </c>
      <c r="L28" s="98">
        <f t="shared" si="0"/>
        <v>1681.1538461538462</v>
      </c>
      <c r="M28" s="98">
        <f t="shared" si="1"/>
        <v>1643.700406425392</v>
      </c>
      <c r="N28" s="98">
        <f t="shared" si="2"/>
        <v>1848.4848484848485</v>
      </c>
      <c r="O28" s="98">
        <f t="shared" si="3"/>
        <v>1553.8461538461538</v>
      </c>
      <c r="P28" s="98">
        <f t="shared" si="3"/>
        <v>2019.7368421052633</v>
      </c>
    </row>
    <row r="29" spans="1:16" ht="25.5" customHeight="1">
      <c r="A29" s="107" t="s">
        <v>53</v>
      </c>
      <c r="B29" s="73">
        <f>'G Nut U'!C52+'R &amp; M U'!B28+'Linseed U'!B21</f>
        <v>2.495</v>
      </c>
      <c r="C29" s="73">
        <f>'G Nut U'!D52+'R &amp; M U'!C28+'Linseed U'!C21</f>
        <v>2.97</v>
      </c>
      <c r="D29" s="73">
        <f>'G Nut U'!E52+'R &amp; M U'!D28+'Linseed U'!D21</f>
        <v>6.18</v>
      </c>
      <c r="E29" s="73">
        <f>'G Nut U'!F52+'R &amp; M U'!E28+'Linseed U'!E21</f>
        <v>7.264</v>
      </c>
      <c r="F29" s="73">
        <f>'G Nut U'!G52+'R &amp; M U'!F28+'Linseed U'!F21</f>
        <v>8.65</v>
      </c>
      <c r="G29" s="73">
        <f>'G Nut U'!H52+'R &amp; M U'!G28+'Linseed U'!G21</f>
        <v>2.181</v>
      </c>
      <c r="H29" s="73">
        <f>'G Nut U'!I52+'R &amp; M U'!H28+'Linseed U'!H21</f>
        <v>2.6</v>
      </c>
      <c r="I29" s="73">
        <f>'G Nut U'!J52+'R &amp; M U'!I28+'Linseed U'!I21</f>
        <v>5.25</v>
      </c>
      <c r="J29" s="73">
        <f>'G Nut U'!K52+'R &amp; M U'!J28+'Linseed U'!J21</f>
        <v>6.147</v>
      </c>
      <c r="K29" s="73">
        <f>'G Nut U'!L52+'R &amp; M U'!K28+'Linseed U'!K21</f>
        <v>7.877000000000001</v>
      </c>
      <c r="L29" s="98">
        <f t="shared" si="0"/>
        <v>874.1482965931864</v>
      </c>
      <c r="M29" s="98">
        <f t="shared" si="1"/>
        <v>875.4208754208754</v>
      </c>
      <c r="N29" s="98">
        <f t="shared" si="2"/>
        <v>849.5145631067962</v>
      </c>
      <c r="O29" s="98">
        <f t="shared" si="3"/>
        <v>846.227973568282</v>
      </c>
      <c r="P29" s="98">
        <f t="shared" si="3"/>
        <v>910.635838150289</v>
      </c>
    </row>
    <row r="30" spans="1:16" ht="25.5" customHeight="1">
      <c r="A30" s="107" t="s">
        <v>22</v>
      </c>
      <c r="B30" s="73">
        <f>'R &amp; M U'!B29+'Linseed U'!B22+'Sunflower U'!C41</f>
        <v>695</v>
      </c>
      <c r="C30" s="73">
        <f>'R &amp; M U'!C29+'Linseed U'!C22+'Sunflower U'!D41</f>
        <v>691</v>
      </c>
      <c r="D30" s="73">
        <f>'R &amp; M U'!D29+'Linseed U'!D22+'Sunflower U'!E41</f>
        <v>654</v>
      </c>
      <c r="E30" s="73">
        <f>'R &amp; M U'!E29+'Linseed U'!E22+'Sunflower U'!F41</f>
        <v>612</v>
      </c>
      <c r="F30" s="73">
        <f>'R &amp; M U'!F29+'Linseed U'!F22+'Sunflower U'!G41</f>
        <v>724</v>
      </c>
      <c r="G30" s="73">
        <f>'R &amp; M U'!G29+'Linseed U'!G22+'Sunflower U'!H41</f>
        <v>853.5</v>
      </c>
      <c r="H30" s="73">
        <f>'R &amp; M U'!H29+'Linseed U'!H22+'Sunflower U'!I41</f>
        <v>751.806</v>
      </c>
      <c r="I30" s="73">
        <f>'R &amp; M U'!I29+'Linseed U'!I22+'Sunflower U'!J41</f>
        <v>601.18</v>
      </c>
      <c r="J30" s="73">
        <f>'R &amp; M U'!J29+'Linseed U'!J22+'Sunflower U'!K41</f>
        <v>614.82</v>
      </c>
      <c r="K30" s="73">
        <f>'R &amp; M U'!K29+'Linseed U'!K22+'Sunflower U'!L41</f>
        <v>879</v>
      </c>
      <c r="L30" s="98">
        <f t="shared" si="0"/>
        <v>1228.0575539568347</v>
      </c>
      <c r="M30" s="98">
        <f t="shared" si="1"/>
        <v>1087.9971056439942</v>
      </c>
      <c r="N30" s="98">
        <f t="shared" si="2"/>
        <v>919.2354740061162</v>
      </c>
      <c r="O30" s="98">
        <f t="shared" si="3"/>
        <v>1004.6078431372549</v>
      </c>
      <c r="P30" s="98">
        <f t="shared" si="3"/>
        <v>1214.088397790055</v>
      </c>
    </row>
    <row r="31" spans="1:16" ht="25.5" customHeight="1">
      <c r="A31" s="107" t="s">
        <v>86</v>
      </c>
      <c r="B31" s="73">
        <f>'R &amp; M U'!B30+'Linseed U'!B23</f>
        <v>18.569999999999997</v>
      </c>
      <c r="C31" s="73">
        <f>'R &amp; M U'!C30+'Linseed U'!C23</f>
        <v>13.89</v>
      </c>
      <c r="D31" s="73">
        <f>'R &amp; M U'!D30+'Linseed U'!D23</f>
        <v>16.22</v>
      </c>
      <c r="E31" s="73">
        <f>'R &amp; M U'!E30+'Linseed U'!E23</f>
        <v>15.86</v>
      </c>
      <c r="F31" s="73">
        <f>'R &amp; M U'!F30+'Linseed U'!F23</f>
        <v>13</v>
      </c>
      <c r="G31" s="73">
        <f>'R &amp; M U'!G30+'Linseed U'!G23</f>
        <v>17.1</v>
      </c>
      <c r="H31" s="73">
        <f>'R &amp; M U'!H30+'Linseed U'!H23</f>
        <v>10.26</v>
      </c>
      <c r="I31" s="73">
        <f>'R &amp; M U'!I30+'Linseed U'!I23</f>
        <v>11.61</v>
      </c>
      <c r="J31" s="73">
        <f>'R &amp; M U'!J30+'Linseed U'!J23</f>
        <v>15.52</v>
      </c>
      <c r="K31" s="73">
        <f>'R &amp; M U'!K30+'Linseed U'!K23</f>
        <v>11</v>
      </c>
      <c r="L31" s="98">
        <f t="shared" si="0"/>
        <v>920.8400646203556</v>
      </c>
      <c r="M31" s="98">
        <f t="shared" si="1"/>
        <v>738.6609071274297</v>
      </c>
      <c r="N31" s="98">
        <f t="shared" si="2"/>
        <v>715.7829839704069</v>
      </c>
      <c r="O31" s="98">
        <f t="shared" si="3"/>
        <v>978.562421185372</v>
      </c>
      <c r="P31" s="98">
        <f t="shared" si="3"/>
        <v>846.1538461538462</v>
      </c>
    </row>
    <row r="32" spans="1:16" ht="25.5" customHeight="1">
      <c r="A32" s="107" t="s">
        <v>23</v>
      </c>
      <c r="B32" s="73">
        <f>'G Nut U'!C57+'R &amp; M U'!B31+'Linseed U'!B24+'Safflower U'!B16+'Sunflower U'!C43</f>
        <v>516.26</v>
      </c>
      <c r="C32" s="73">
        <f>'G Nut U'!D57+'R &amp; M U'!C31+'Linseed U'!C24+'Safflower U'!C16+'Sunflower U'!D43</f>
        <v>548.591</v>
      </c>
      <c r="D32" s="73">
        <f>'G Nut U'!E57+'R &amp; M U'!D31+'Linseed U'!D24+'Safflower U'!D16+'Sunflower U'!E43</f>
        <v>545.27</v>
      </c>
      <c r="E32" s="73">
        <f>'G Nut U'!F57+'R &amp; M U'!E31+'Linseed U'!E24+'Safflower U'!E16+'Sunflower U'!F43</f>
        <v>559.121</v>
      </c>
      <c r="F32" s="73">
        <f>'G Nut U'!G57+'R &amp; M U'!F31+'Linseed U'!F24+'Safflower U'!F16+'Sunflower U'!G43</f>
        <v>552.455</v>
      </c>
      <c r="G32" s="73">
        <f>'G Nut U'!H57+'R &amp; M U'!G31+'Linseed U'!G24+'Safflower U'!G16+'Sunflower U'!H43</f>
        <v>644.67</v>
      </c>
      <c r="H32" s="73">
        <f>'G Nut U'!I57+'R &amp; M U'!H31+'Linseed U'!H24+'Safflower U'!H16+'Sunflower U'!I43</f>
        <v>698.0840000000001</v>
      </c>
      <c r="I32" s="73">
        <f>'G Nut U'!J57+'R &amp; M U'!I31+'Linseed U'!I24+'Safflower U'!I16+'Sunflower U'!J43</f>
        <v>682.5799999999999</v>
      </c>
      <c r="J32" s="73">
        <f>'G Nut U'!K57+'R &amp; M U'!J31+'Linseed U'!J24+'Safflower U'!J16+'Sunflower U'!K43</f>
        <v>707.4</v>
      </c>
      <c r="K32" s="73">
        <f>'G Nut U'!L57+'R &amp; M U'!K31+'Linseed U'!K24+'Safflower U'!K16+'Sunflower U'!L43</f>
        <v>685.9379999999999</v>
      </c>
      <c r="L32" s="98">
        <f t="shared" si="0"/>
        <v>1248.7312594429163</v>
      </c>
      <c r="M32" s="98">
        <f t="shared" si="1"/>
        <v>1272.503559117813</v>
      </c>
      <c r="N32" s="98">
        <f t="shared" si="2"/>
        <v>1251.820199167385</v>
      </c>
      <c r="O32" s="98">
        <f t="shared" si="3"/>
        <v>1265.2001981681963</v>
      </c>
      <c r="P32" s="98">
        <f t="shared" si="3"/>
        <v>1241.6178693287231</v>
      </c>
    </row>
    <row r="33" spans="1:16" ht="25.5" customHeight="1">
      <c r="A33" s="107" t="s">
        <v>114</v>
      </c>
      <c r="B33" s="73">
        <f>'R &amp; M U'!B32</f>
        <v>0</v>
      </c>
      <c r="C33" s="73">
        <f>'R &amp; M U'!C32</f>
        <v>0.009</v>
      </c>
      <c r="D33" s="73">
        <f>'R &amp; M U'!D32</f>
        <v>0.01</v>
      </c>
      <c r="E33" s="73">
        <f>'R &amp; M U'!E32</f>
        <v>0.0053</v>
      </c>
      <c r="F33" s="73">
        <f>'R &amp; M U'!F32</f>
        <v>0.0045</v>
      </c>
      <c r="G33" s="73">
        <f>'R &amp; M U'!G32</f>
        <v>0</v>
      </c>
      <c r="H33" s="73">
        <f>'R &amp; M U'!H32</f>
        <v>0.007</v>
      </c>
      <c r="I33" s="73">
        <f>'R &amp; M U'!I32</f>
        <v>0</v>
      </c>
      <c r="J33" s="73">
        <f>'R &amp; M U'!J32</f>
        <v>0.00135</v>
      </c>
      <c r="K33" s="73">
        <f>'R &amp; M U'!K32</f>
        <v>0.00116</v>
      </c>
      <c r="L33" s="98">
        <v>0</v>
      </c>
      <c r="M33" s="98">
        <f aca="true" t="shared" si="4" ref="L33:M37">H33/C33*1000</f>
        <v>777.7777777777779</v>
      </c>
      <c r="N33" s="98">
        <f aca="true" t="shared" si="5" ref="N33:P37">I33/D33*1000</f>
        <v>0</v>
      </c>
      <c r="O33" s="98">
        <f t="shared" si="5"/>
        <v>254.71698113207546</v>
      </c>
      <c r="P33" s="98">
        <f t="shared" si="5"/>
        <v>257.77777777777777</v>
      </c>
    </row>
    <row r="34" spans="1:16" ht="25.5" customHeight="1">
      <c r="A34" s="107" t="s">
        <v>124</v>
      </c>
      <c r="B34" s="73">
        <f>'R &amp; M U'!B33</f>
        <v>0</v>
      </c>
      <c r="C34" s="73">
        <f>'R &amp; M U'!C33</f>
        <v>0</v>
      </c>
      <c r="D34" s="73">
        <f>'R &amp; M U'!D33</f>
        <v>0</v>
      </c>
      <c r="E34" s="73">
        <f>'R &amp; M U'!E33</f>
        <v>0</v>
      </c>
      <c r="F34" s="73">
        <f>'R &amp; M U'!F33</f>
        <v>0.005</v>
      </c>
      <c r="G34" s="73">
        <f>'R &amp; M U'!G33</f>
        <v>0</v>
      </c>
      <c r="H34" s="73">
        <f>'R &amp; M U'!H33</f>
        <v>0</v>
      </c>
      <c r="I34" s="73">
        <f>'R &amp; M U'!I33</f>
        <v>0</v>
      </c>
      <c r="J34" s="73">
        <f>'R &amp; M U'!J33</f>
        <v>0</v>
      </c>
      <c r="K34" s="73">
        <f>'R &amp; M U'!K33</f>
        <v>0.0025</v>
      </c>
      <c r="L34" s="98">
        <v>0</v>
      </c>
      <c r="M34" s="98">
        <v>0</v>
      </c>
      <c r="N34" s="98">
        <v>0</v>
      </c>
      <c r="O34" s="98">
        <v>0</v>
      </c>
      <c r="P34" s="98">
        <f t="shared" si="5"/>
        <v>500</v>
      </c>
    </row>
    <row r="35" spans="1:16" ht="25.5" customHeight="1">
      <c r="A35" s="107" t="s">
        <v>55</v>
      </c>
      <c r="B35" s="73">
        <f>'R &amp; M U'!B34</f>
        <v>6.8</v>
      </c>
      <c r="C35" s="73">
        <f>'R &amp; M U'!C34</f>
        <v>0</v>
      </c>
      <c r="D35" s="73">
        <f>'R &amp; M U'!D34</f>
        <v>0</v>
      </c>
      <c r="E35" s="73">
        <f>'R &amp; M U'!E34</f>
        <v>3.685</v>
      </c>
      <c r="F35" s="73">
        <f>'R &amp; M U'!F34</f>
        <v>3.628</v>
      </c>
      <c r="G35" s="73">
        <f>'R &amp; M U'!G34</f>
        <v>8.6</v>
      </c>
      <c r="H35" s="73">
        <f>'R &amp; M U'!H34</f>
        <v>0</v>
      </c>
      <c r="I35" s="73">
        <f>'R &amp; M U'!I34</f>
        <v>0</v>
      </c>
      <c r="J35" s="73">
        <f>'R &amp; M U'!J34</f>
        <v>4.643</v>
      </c>
      <c r="K35" s="73">
        <f>'R &amp; M U'!K34</f>
        <v>4.527</v>
      </c>
      <c r="L35" s="98">
        <f>G35/B35*1000</f>
        <v>1264.7058823529412</v>
      </c>
      <c r="M35" s="98">
        <v>0</v>
      </c>
      <c r="N35" s="98">
        <v>0</v>
      </c>
      <c r="O35" s="98">
        <f t="shared" si="5"/>
        <v>1259.9728629579374</v>
      </c>
      <c r="P35" s="98">
        <f t="shared" si="5"/>
        <v>1247.7949283351709</v>
      </c>
    </row>
    <row r="36" spans="1:16" ht="25.5" customHeight="1">
      <c r="A36" s="108" t="s">
        <v>127</v>
      </c>
      <c r="B36" s="87">
        <f>'G Nut U'!C61</f>
        <v>0.037</v>
      </c>
      <c r="C36" s="87">
        <f>'G Nut U'!D61</f>
        <v>0</v>
      </c>
      <c r="D36" s="87">
        <f>'G Nut U'!E61</f>
        <v>0.03</v>
      </c>
      <c r="E36" s="87">
        <f>'G Nut U'!F61</f>
        <v>0.055</v>
      </c>
      <c r="F36" s="87">
        <f>'G Nut U'!G61</f>
        <v>0.04</v>
      </c>
      <c r="G36" s="87">
        <f>'G Nut U'!H61</f>
        <v>0.092</v>
      </c>
      <c r="H36" s="87">
        <f>'G Nut U'!I61</f>
        <v>0</v>
      </c>
      <c r="I36" s="87">
        <f>'G Nut U'!J61</f>
        <v>0.04</v>
      </c>
      <c r="J36" s="87">
        <f>'G Nut U'!K61</f>
        <v>0.165</v>
      </c>
      <c r="K36" s="87">
        <f>'G Nut U'!L61</f>
        <v>0.112</v>
      </c>
      <c r="L36" s="98">
        <f>G36/B36*1000</f>
        <v>2486.4864864864862</v>
      </c>
      <c r="M36" s="98">
        <v>0</v>
      </c>
      <c r="N36" s="98">
        <f t="shared" si="5"/>
        <v>1333.3333333333335</v>
      </c>
      <c r="O36" s="98">
        <f t="shared" si="5"/>
        <v>3000</v>
      </c>
      <c r="P36" s="98">
        <f t="shared" si="5"/>
        <v>2800</v>
      </c>
    </row>
    <row r="37" spans="1:16" s="154" customFormat="1" ht="25.5" customHeight="1">
      <c r="A37" s="156" t="s">
        <v>45</v>
      </c>
      <c r="B37" s="129">
        <f>'G Nut U'!C64+'R &amp; M U'!B35+'Linseed U'!B25+'Safflower U'!B17+'Sunflower U'!C46</f>
        <v>8161.731</v>
      </c>
      <c r="C37" s="129">
        <f>'G Nut U'!D64+'R &amp; M U'!C35+'Linseed U'!C25+'Safflower U'!C17+'Sunflower U'!D46</f>
        <v>8394.794000000002</v>
      </c>
      <c r="D37" s="129">
        <f>'G Nut U'!E64+'R &amp; M U'!D35+'Linseed U'!D25+'Safflower U'!D17+'Sunflower U'!E46</f>
        <v>7387.660000000001</v>
      </c>
      <c r="E37" s="129">
        <f>'G Nut U'!F64+'R &amp; M U'!E35+'Linseed U'!E25+'Safflower U'!E17+'Sunflower U'!F46</f>
        <v>7214.858300000001</v>
      </c>
      <c r="F37" s="129">
        <f>'G Nut U'!G64+'R &amp; M U'!F35+'Linseed U'!F25+'Safflower U'!F17+'Sunflower U'!G46</f>
        <v>7501.7185</v>
      </c>
      <c r="G37" s="129">
        <f>'G Nut U'!H64+'R &amp; M U'!G35+'Linseed U'!G25+'Safflower U'!G17+'Sunflower U'!H46</f>
        <v>10150.0695</v>
      </c>
      <c r="H37" s="129">
        <f>'G Nut U'!I64+'R &amp; M U'!H35+'Linseed U'!H25+'Safflower U'!H17+'Sunflower U'!I46</f>
        <v>10125.577249999998</v>
      </c>
      <c r="I37" s="129">
        <f>'G Nut U'!J64+'R &amp; M U'!I35+'Linseed U'!I25+'Safflower U'!I17+'Sunflower U'!J46</f>
        <v>8289.549999999997</v>
      </c>
      <c r="J37" s="129">
        <f>'G Nut U'!K64+'R &amp; M U'!J35+'Linseed U'!J25+'Safflower U'!J17+'Sunflower U'!K46</f>
        <v>8552.573892</v>
      </c>
      <c r="K37" s="129">
        <f>'G Nut U'!L64+'R &amp; M U'!K35+'Linseed U'!K25+'Safflower U'!K17+'Sunflower U'!L46</f>
        <v>9749.951860000001</v>
      </c>
      <c r="L37" s="144">
        <f>G37/B37*1000</f>
        <v>1243.617254722068</v>
      </c>
      <c r="M37" s="144">
        <f t="shared" si="4"/>
        <v>1206.173403421215</v>
      </c>
      <c r="N37" s="144">
        <f t="shared" si="5"/>
        <v>1122.0806046840266</v>
      </c>
      <c r="O37" s="144">
        <f t="shared" si="5"/>
        <v>1185.4112078680741</v>
      </c>
      <c r="P37" s="144">
        <f t="shared" si="5"/>
        <v>1299.695777707468</v>
      </c>
    </row>
    <row r="38" ht="18">
      <c r="A38" s="58"/>
    </row>
    <row r="40" spans="2:11" ht="18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8"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sheetProtection/>
  <mergeCells count="5">
    <mergeCell ref="B2:F2"/>
    <mergeCell ref="A2:A3"/>
    <mergeCell ref="L2:P2"/>
    <mergeCell ref="G2:K2"/>
    <mergeCell ref="A1:P1"/>
  </mergeCells>
  <printOptions horizontalCentered="1" verticalCentered="1"/>
  <pageMargins left="0.511811023622047" right="0.511811023622047" top="0.236220472440945" bottom="0" header="0.433070866141732" footer="0.511811023622047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P41"/>
  <sheetViews>
    <sheetView view="pageBreakPreview" zoomScale="70" zoomScaleNormal="60" zoomScaleSheetLayoutView="70" zoomScalePageLayoutView="0" workbookViewId="0" topLeftCell="A1">
      <pane xSplit="1" ySplit="3" topLeftCell="B22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N35" sqref="N35"/>
    </sheetView>
  </sheetViews>
  <sheetFormatPr defaultColWidth="9.140625" defaultRowHeight="12.75"/>
  <cols>
    <col min="1" max="1" width="23.7109375" style="3" customWidth="1"/>
    <col min="2" max="3" width="11.57421875" style="3" customWidth="1"/>
    <col min="4" max="6" width="11.8515625" style="3" customWidth="1"/>
    <col min="7" max="8" width="11.57421875" style="3" customWidth="1"/>
    <col min="9" max="11" width="11.00390625" style="3" customWidth="1"/>
    <col min="12" max="12" width="12.00390625" style="3" customWidth="1"/>
    <col min="13" max="13" width="12.7109375" style="3" bestFit="1" customWidth="1"/>
    <col min="14" max="16" width="11.140625" style="3" customWidth="1"/>
    <col min="17" max="16384" width="9.140625" style="3" customWidth="1"/>
  </cols>
  <sheetData>
    <row r="1" spans="1:16" ht="27.75" customHeight="1">
      <c r="A1" s="212" t="s">
        <v>137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21.75" customHeight="1">
      <c r="A2" s="203" t="s">
        <v>0</v>
      </c>
      <c r="B2" s="185" t="s">
        <v>81</v>
      </c>
      <c r="C2" s="186"/>
      <c r="D2" s="186"/>
      <c r="E2" s="186"/>
      <c r="F2" s="187"/>
      <c r="G2" s="185" t="s">
        <v>82</v>
      </c>
      <c r="H2" s="186"/>
      <c r="I2" s="186"/>
      <c r="J2" s="186"/>
      <c r="K2" s="187"/>
      <c r="L2" s="184" t="s">
        <v>79</v>
      </c>
      <c r="M2" s="184"/>
      <c r="N2" s="184"/>
      <c r="O2" s="184"/>
      <c r="P2" s="184"/>
    </row>
    <row r="3" spans="1:16" s="15" customFormat="1" ht="29.25" customHeight="1">
      <c r="A3" s="203"/>
      <c r="B3" s="158" t="s">
        <v>112</v>
      </c>
      <c r="C3" s="126" t="s">
        <v>113</v>
      </c>
      <c r="D3" s="126" t="s">
        <v>115</v>
      </c>
      <c r="E3" s="126" t="s">
        <v>121</v>
      </c>
      <c r="F3" s="126" t="s">
        <v>122</v>
      </c>
      <c r="G3" s="158" t="s">
        <v>112</v>
      </c>
      <c r="H3" s="126" t="s">
        <v>113</v>
      </c>
      <c r="I3" s="126" t="s">
        <v>115</v>
      </c>
      <c r="J3" s="126" t="s">
        <v>121</v>
      </c>
      <c r="K3" s="126" t="s">
        <v>122</v>
      </c>
      <c r="L3" s="158" t="s">
        <v>112</v>
      </c>
      <c r="M3" s="126" t="s">
        <v>113</v>
      </c>
      <c r="N3" s="126" t="s">
        <v>115</v>
      </c>
      <c r="O3" s="126" t="s">
        <v>121</v>
      </c>
      <c r="P3" s="126" t="s">
        <v>122</v>
      </c>
    </row>
    <row r="4" spans="1:16" ht="20.25" customHeight="1">
      <c r="A4" s="18" t="s">
        <v>1</v>
      </c>
      <c r="B4" s="74">
        <f>'Kh Oil U'!B4+'Rb Oil  U'!B4</f>
        <v>1439.5</v>
      </c>
      <c r="C4" s="74">
        <f>'Kh Oil U'!C4+'Rb Oil  U'!C4</f>
        <v>1398.949373368146</v>
      </c>
      <c r="D4" s="74">
        <f>'Kh Oil U'!D4+'Rb Oil  U'!D4</f>
        <v>1072</v>
      </c>
      <c r="E4" s="74">
        <f>'Kh Oil U'!E4+'Rb Oil  U'!E4</f>
        <v>915</v>
      </c>
      <c r="F4" s="74">
        <f>'Kh Oil U'!F4+'Rb Oil  U'!F4</f>
        <v>1144</v>
      </c>
      <c r="G4" s="74">
        <f>'Kh Oil U'!G4+'Rb Oil  U'!G4</f>
        <v>928.3</v>
      </c>
      <c r="H4" s="74">
        <f>'Kh Oil U'!H4+'Rb Oil  U'!H4</f>
        <v>1022.6640118402702</v>
      </c>
      <c r="I4" s="74">
        <f>'Kh Oil U'!I4+'Rb Oil  U'!I4</f>
        <v>597.15</v>
      </c>
      <c r="J4" s="74">
        <f>'Kh Oil U'!J4+'Rb Oil  U'!J4</f>
        <v>873</v>
      </c>
      <c r="K4" s="74">
        <f>'Kh Oil U'!K4+'Rb Oil  U'!K4</f>
        <v>664.2239999999999</v>
      </c>
      <c r="L4" s="94">
        <f aca="true" t="shared" si="0" ref="L4:L33">G4/B4*1000</f>
        <v>644.8766932962834</v>
      </c>
      <c r="M4" s="94">
        <f aca="true" t="shared" si="1" ref="M4:M32">H4/C4*1000</f>
        <v>731.0228885396176</v>
      </c>
      <c r="N4" s="94">
        <f aca="true" t="shared" si="2" ref="N4:N32">I4/D4*1000</f>
        <v>557.0429104477612</v>
      </c>
      <c r="O4" s="94">
        <f aca="true" t="shared" si="3" ref="O4:P32">J4/E4*1000</f>
        <v>954.0983606557377</v>
      </c>
      <c r="P4" s="94">
        <f t="shared" si="3"/>
        <v>580.6153846153845</v>
      </c>
    </row>
    <row r="5" spans="1:16" ht="20.25" customHeight="1">
      <c r="A5" s="18" t="s">
        <v>33</v>
      </c>
      <c r="B5" s="74">
        <f>'Kh Oil U'!B5+'Rb Oil  U'!B5</f>
        <v>32.262</v>
      </c>
      <c r="C5" s="74">
        <f>'Kh Oil U'!C5+'Rb Oil  U'!C5</f>
        <v>32.79</v>
      </c>
      <c r="D5" s="74">
        <f>'Kh Oil U'!D5+'Rb Oil  U'!D5</f>
        <v>34.91</v>
      </c>
      <c r="E5" s="74">
        <f>'Kh Oil U'!E5+'Rb Oil  U'!E5</f>
        <v>35.007</v>
      </c>
      <c r="F5" s="74">
        <f>'Kh Oil U'!F5+'Rb Oil  U'!F5</f>
        <v>35.215</v>
      </c>
      <c r="G5" s="74">
        <f>'Kh Oil U'!G5+'Rb Oil  U'!G5</f>
        <v>30.767</v>
      </c>
      <c r="H5" s="74">
        <f>'Kh Oil U'!H5+'Rb Oil  U'!H5</f>
        <v>31.400000000000002</v>
      </c>
      <c r="I5" s="74">
        <f>'Kh Oil U'!I5+'Rb Oil  U'!I5</f>
        <v>33.91</v>
      </c>
      <c r="J5" s="74">
        <f>'Kh Oil U'!J5+'Rb Oil  U'!J5</f>
        <v>36.403999999999996</v>
      </c>
      <c r="K5" s="74">
        <f>'Kh Oil U'!K5+'Rb Oil  U'!K5</f>
        <v>36.623999999999995</v>
      </c>
      <c r="L5" s="94">
        <f t="shared" si="0"/>
        <v>953.6606534002851</v>
      </c>
      <c r="M5" s="94">
        <f t="shared" si="1"/>
        <v>957.6090271424216</v>
      </c>
      <c r="N5" s="94">
        <f t="shared" si="2"/>
        <v>971.3549126324835</v>
      </c>
      <c r="O5" s="94">
        <f t="shared" si="3"/>
        <v>1039.906304453395</v>
      </c>
      <c r="P5" s="94">
        <f t="shared" si="3"/>
        <v>1040.0113587959675</v>
      </c>
    </row>
    <row r="6" spans="1:16" ht="20.25" customHeight="1">
      <c r="A6" s="18" t="s">
        <v>29</v>
      </c>
      <c r="B6" s="74">
        <f>'Kh Oil U'!B6+'Rb Oil  U'!B6</f>
        <v>306.22</v>
      </c>
      <c r="C6" s="74">
        <f>'Kh Oil U'!C6+'Rb Oil  U'!C6</f>
        <v>304.159</v>
      </c>
      <c r="D6" s="74">
        <f>'Kh Oil U'!D6+'Rb Oil  U'!D6</f>
        <v>306.89</v>
      </c>
      <c r="E6" s="74">
        <f>'Kh Oil U'!E6+'Rb Oil  U'!E6</f>
        <v>310.134</v>
      </c>
      <c r="F6" s="74">
        <f>'Kh Oil U'!F6+'Rb Oil  U'!F6</f>
        <v>317.581</v>
      </c>
      <c r="G6" s="74">
        <f>'Kh Oil U'!G6+'Rb Oil  U'!G6</f>
        <v>186.76000000000002</v>
      </c>
      <c r="H6" s="74">
        <f>'Kh Oil U'!H6+'Rb Oil  U'!H6</f>
        <v>186.33999999999997</v>
      </c>
      <c r="I6" s="74">
        <f>'Kh Oil U'!I6+'Rb Oil  U'!I6</f>
        <v>205.69</v>
      </c>
      <c r="J6" s="74">
        <f>'Kh Oil U'!J6+'Rb Oil  U'!J6</f>
        <v>215.194</v>
      </c>
      <c r="K6" s="74">
        <f>'Kh Oil U'!K6+'Rb Oil  U'!K6</f>
        <v>204.307</v>
      </c>
      <c r="L6" s="94">
        <f t="shared" si="0"/>
        <v>609.8883155900986</v>
      </c>
      <c r="M6" s="94">
        <f t="shared" si="1"/>
        <v>612.640099421684</v>
      </c>
      <c r="N6" s="94">
        <f t="shared" si="2"/>
        <v>670.2401511942389</v>
      </c>
      <c r="O6" s="94">
        <f t="shared" si="3"/>
        <v>693.8742608033946</v>
      </c>
      <c r="P6" s="94">
        <f t="shared" si="3"/>
        <v>643.3224909550634</v>
      </c>
    </row>
    <row r="7" spans="1:16" ht="20.25" customHeight="1">
      <c r="A7" s="18" t="s">
        <v>41</v>
      </c>
      <c r="B7" s="74">
        <f>'Kh Oil U'!B7+'Rb Oil  U'!B7</f>
        <v>127.99999999999999</v>
      </c>
      <c r="C7" s="74">
        <f>'Kh Oil U'!C7+'Rb Oil  U'!C7</f>
        <v>123.7</v>
      </c>
      <c r="D7" s="74">
        <f>'Kh Oil U'!D7+'Rb Oil  U'!D7</f>
        <v>116.23999999999998</v>
      </c>
      <c r="E7" s="74">
        <f>'Kh Oil U'!E7+'Rb Oil  U'!E7</f>
        <v>119.48899999999999</v>
      </c>
      <c r="F7" s="74">
        <f>'Kh Oil U'!F7+'Rb Oil  U'!F7</f>
        <v>108.93</v>
      </c>
      <c r="G7" s="74">
        <f>'Kh Oil U'!G7+'Rb Oil  U'!G7</f>
        <v>143.3236</v>
      </c>
      <c r="H7" s="74">
        <f>'Kh Oil U'!H7+'Rb Oil  U'!H7</f>
        <v>146.16625</v>
      </c>
      <c r="I7" s="74">
        <f>'Kh Oil U'!I7+'Rb Oil  U'!I7</f>
        <v>127.02</v>
      </c>
      <c r="J7" s="74">
        <f>'Kh Oil U'!J7+'Rb Oil  U'!J7</f>
        <v>126.523</v>
      </c>
      <c r="K7" s="74">
        <f>'Kh Oil U'!K7+'Rb Oil  U'!K7</f>
        <v>125.86200000000001</v>
      </c>
      <c r="L7" s="94">
        <f t="shared" si="0"/>
        <v>1119.7156250000003</v>
      </c>
      <c r="M7" s="94">
        <f t="shared" si="1"/>
        <v>1181.6188358932902</v>
      </c>
      <c r="N7" s="94">
        <f t="shared" si="2"/>
        <v>1092.7391603578803</v>
      </c>
      <c r="O7" s="94">
        <f t="shared" si="3"/>
        <v>1058.8673434374714</v>
      </c>
      <c r="P7" s="94">
        <f t="shared" si="3"/>
        <v>1155.4392729275683</v>
      </c>
    </row>
    <row r="8" spans="1:16" ht="20.25" customHeight="1">
      <c r="A8" s="18" t="s">
        <v>6</v>
      </c>
      <c r="B8" s="74">
        <f>'Kh Oil U'!B8+'Rb Oil  U'!B8</f>
        <v>297.5</v>
      </c>
      <c r="C8" s="74">
        <f>'Kh Oil U'!C8+'Rb Oil  U'!C8</f>
        <v>289.59999999999997</v>
      </c>
      <c r="D8" s="74">
        <f>'Kh Oil U'!D8+'Rb Oil  U'!D8</f>
        <v>291.1</v>
      </c>
      <c r="E8" s="74">
        <f>'Kh Oil U'!E8+'Rb Oil  U'!E8</f>
        <v>298.9</v>
      </c>
      <c r="F8" s="74">
        <f>'Kh Oil U'!F8+'Rb Oil  U'!F8</f>
        <v>296.9</v>
      </c>
      <c r="G8" s="74">
        <f>'Kh Oil U'!G8+'Rb Oil  U'!G8</f>
        <v>215</v>
      </c>
      <c r="H8" s="74">
        <f>'Kh Oil U'!H8+'Rb Oil  U'!H8</f>
        <v>185.39999999999998</v>
      </c>
      <c r="I8" s="74">
        <f>'Kh Oil U'!I8+'Rb Oil  U'!I8</f>
        <v>174.24</v>
      </c>
      <c r="J8" s="74">
        <f>'Kh Oil U'!J8+'Rb Oil  U'!J8</f>
        <v>149.60000000000002</v>
      </c>
      <c r="K8" s="74">
        <f>'Kh Oil U'!K8+'Rb Oil  U'!K8</f>
        <v>169.89999999999998</v>
      </c>
      <c r="L8" s="94">
        <f t="shared" si="0"/>
        <v>722.6890756302521</v>
      </c>
      <c r="M8" s="94">
        <f t="shared" si="1"/>
        <v>640.1933701657458</v>
      </c>
      <c r="N8" s="94">
        <f t="shared" si="2"/>
        <v>598.557196839574</v>
      </c>
      <c r="O8" s="94">
        <f t="shared" si="3"/>
        <v>500.5018400802945</v>
      </c>
      <c r="P8" s="94">
        <f t="shared" si="3"/>
        <v>572.2465476591445</v>
      </c>
    </row>
    <row r="9" spans="1:16" ht="20.25" customHeight="1">
      <c r="A9" s="18" t="s">
        <v>7</v>
      </c>
      <c r="B9" s="74">
        <f>'Kh Oil U'!B9+'Rb Oil  U'!B9</f>
        <v>3.0999999999999996</v>
      </c>
      <c r="C9" s="74">
        <f>'Kh Oil U'!C9+'Rb Oil  U'!C9</f>
        <v>2.5900000000000003</v>
      </c>
      <c r="D9" s="74">
        <f>'Kh Oil U'!D9+'Rb Oil  U'!D9</f>
        <v>2.27</v>
      </c>
      <c r="E9" s="74">
        <f>'Kh Oil U'!E9+'Rb Oil  U'!E9</f>
        <v>1.898</v>
      </c>
      <c r="F9" s="74">
        <f>'Kh Oil U'!F9+'Rb Oil  U'!F9</f>
        <v>1.6880000000000002</v>
      </c>
      <c r="G9" s="74">
        <f>'Kh Oil U'!G9+'Rb Oil  U'!G9</f>
        <v>7.469</v>
      </c>
      <c r="H9" s="74">
        <f>'Kh Oil U'!H9+'Rb Oil  U'!H9</f>
        <v>6.59</v>
      </c>
      <c r="I9" s="74">
        <f>'Kh Oil U'!I9+'Rb Oil  U'!I9</f>
        <v>4.3100000000000005</v>
      </c>
      <c r="J9" s="74">
        <f>'Kh Oil U'!J9+'Rb Oil  U'!J9</f>
        <v>4.035</v>
      </c>
      <c r="K9" s="74">
        <f>'Kh Oil U'!K9+'Rb Oil  U'!K9</f>
        <v>3.971</v>
      </c>
      <c r="L9" s="94">
        <f t="shared" si="0"/>
        <v>2409.3548387096776</v>
      </c>
      <c r="M9" s="94">
        <f t="shared" si="1"/>
        <v>2544.401544401544</v>
      </c>
      <c r="N9" s="94">
        <f t="shared" si="2"/>
        <v>1898.6784140969164</v>
      </c>
      <c r="O9" s="94">
        <f t="shared" si="3"/>
        <v>2125.9220231822974</v>
      </c>
      <c r="P9" s="94">
        <f t="shared" si="3"/>
        <v>2352.4881516587675</v>
      </c>
    </row>
    <row r="10" spans="1:16" ht="20.25" customHeight="1">
      <c r="A10" s="18" t="s">
        <v>8</v>
      </c>
      <c r="B10" s="74">
        <f>'Kh Oil U'!B10+'Rb Oil  U'!B10</f>
        <v>2452</v>
      </c>
      <c r="C10" s="74">
        <f>'Kh Oil U'!C10+'Rb Oil  U'!C10</f>
        <v>3079</v>
      </c>
      <c r="D10" s="74">
        <f>'Kh Oil U'!D10+'Rb Oil  U'!D10</f>
        <v>2545.56</v>
      </c>
      <c r="E10" s="74">
        <f>'Kh Oil U'!E10+'Rb Oil  U'!E10</f>
        <v>2568</v>
      </c>
      <c r="F10" s="74">
        <f>'Kh Oil U'!F10+'Rb Oil  U'!F10</f>
        <v>2776</v>
      </c>
      <c r="G10" s="74">
        <f>'Kh Oil U'!G10+'Rb Oil  U'!G10</f>
        <v>2705</v>
      </c>
      <c r="H10" s="74">
        <f>'Kh Oil U'!H10+'Rb Oil  U'!H10</f>
        <v>6870.426</v>
      </c>
      <c r="I10" s="74">
        <f>'Kh Oil U'!I10+'Rb Oil  U'!I10</f>
        <v>4886.92</v>
      </c>
      <c r="J10" s="74">
        <f>'Kh Oil U'!J10+'Rb Oil  U'!J10</f>
        <v>4179.0952</v>
      </c>
      <c r="K10" s="74">
        <f>'Kh Oil U'!K10+'Rb Oil  U'!K10</f>
        <v>4789.32</v>
      </c>
      <c r="L10" s="94">
        <f t="shared" si="0"/>
        <v>1103.1810766721044</v>
      </c>
      <c r="M10" s="94">
        <f t="shared" si="1"/>
        <v>2231.3822669697956</v>
      </c>
      <c r="N10" s="94">
        <f t="shared" si="2"/>
        <v>1919.7818947500746</v>
      </c>
      <c r="O10" s="94">
        <f t="shared" si="3"/>
        <v>1627.373520249221</v>
      </c>
      <c r="P10" s="94">
        <f t="shared" si="3"/>
        <v>1725.259365994236</v>
      </c>
    </row>
    <row r="11" spans="1:16" ht="20.25" customHeight="1">
      <c r="A11" s="18" t="s">
        <v>35</v>
      </c>
      <c r="B11" s="74">
        <f>'Kh Oil U'!B11+'Rb Oil  U'!B11</f>
        <v>580.2</v>
      </c>
      <c r="C11" s="74">
        <f>'Kh Oil U'!C11+'Rb Oil  U'!C11</f>
        <v>549.1</v>
      </c>
      <c r="D11" s="74">
        <f>'Kh Oil U'!D11+'Rb Oil  U'!D11</f>
        <v>510.6</v>
      </c>
      <c r="E11" s="74">
        <f>'Kh Oil U'!E11+'Rb Oil  U'!E11</f>
        <v>522.2</v>
      </c>
      <c r="F11" s="74">
        <f>'Kh Oil U'!F11+'Rb Oil  U'!F11</f>
        <v>526.6</v>
      </c>
      <c r="G11" s="74">
        <f>'Kh Oil U'!G11+'Rb Oil  U'!G11</f>
        <v>993.1</v>
      </c>
      <c r="H11" s="74">
        <f>'Kh Oil U'!H11+'Rb Oil  U'!H11</f>
        <v>899</v>
      </c>
      <c r="I11" s="74">
        <f>'Kh Oil U'!I11+'Rb Oil  U'!I11</f>
        <v>743.4</v>
      </c>
      <c r="J11" s="74">
        <f>'Kh Oil U'!J11+'Rb Oil  U'!J11</f>
        <v>829.664</v>
      </c>
      <c r="K11" s="74">
        <f>'Kh Oil U'!K11+'Rb Oil  U'!K11</f>
        <v>964.53</v>
      </c>
      <c r="L11" s="94">
        <f t="shared" si="0"/>
        <v>1711.6511547742157</v>
      </c>
      <c r="M11" s="94">
        <f t="shared" si="1"/>
        <v>1637.2245492624293</v>
      </c>
      <c r="N11" s="94">
        <f t="shared" si="2"/>
        <v>1455.9341950646299</v>
      </c>
      <c r="O11" s="94">
        <f t="shared" si="3"/>
        <v>1588.7859057832247</v>
      </c>
      <c r="P11" s="94">
        <f t="shared" si="3"/>
        <v>1831.617926319787</v>
      </c>
    </row>
    <row r="12" spans="1:16" ht="20.25" customHeight="1">
      <c r="A12" s="18" t="s">
        <v>46</v>
      </c>
      <c r="B12" s="74">
        <f>'Kh Oil U'!B12+'Rb Oil  U'!B12</f>
        <v>13.491999999999999</v>
      </c>
      <c r="C12" s="74">
        <f>'Kh Oil U'!C12+'Rb Oil  U'!C12</f>
        <v>12.459999999999999</v>
      </c>
      <c r="D12" s="74">
        <f>'Kh Oil U'!D12+'Rb Oil  U'!D12</f>
        <v>12.219999999999999</v>
      </c>
      <c r="E12" s="74">
        <f>'Kh Oil U'!E12+'Rb Oil  U'!E12</f>
        <v>12.56</v>
      </c>
      <c r="F12" s="74">
        <f>'Kh Oil U'!F12+'Rb Oil  U'!F12</f>
        <v>12.678999999999998</v>
      </c>
      <c r="G12" s="74">
        <f>'Kh Oil U'!G12+'Rb Oil  U'!G12</f>
        <v>6.94</v>
      </c>
      <c r="H12" s="74">
        <f>'Kh Oil U'!H12+'Rb Oil  U'!H12</f>
        <v>6.1</v>
      </c>
      <c r="I12" s="74">
        <f>'Kh Oil U'!I12+'Rb Oil  U'!I12</f>
        <v>6.619999999999999</v>
      </c>
      <c r="J12" s="74">
        <f>'Kh Oil U'!J12+'Rb Oil  U'!J12</f>
        <v>6.5440000000000005</v>
      </c>
      <c r="K12" s="74">
        <f>'Kh Oil U'!K12+'Rb Oil  U'!K12</f>
        <v>6.179</v>
      </c>
      <c r="L12" s="94">
        <f t="shared" si="0"/>
        <v>514.3788911947822</v>
      </c>
      <c r="M12" s="94">
        <f t="shared" si="1"/>
        <v>489.5666131621188</v>
      </c>
      <c r="N12" s="94">
        <f t="shared" si="2"/>
        <v>541.7348608837971</v>
      </c>
      <c r="O12" s="94">
        <f t="shared" si="3"/>
        <v>521.0191082802547</v>
      </c>
      <c r="P12" s="94">
        <f t="shared" si="3"/>
        <v>487.34127297105454</v>
      </c>
    </row>
    <row r="13" spans="1:16" ht="20.25" customHeight="1">
      <c r="A13" s="18" t="s">
        <v>42</v>
      </c>
      <c r="B13" s="74">
        <f>'Kh Oil U'!B13+'Rb Oil  U'!B13</f>
        <v>64.815</v>
      </c>
      <c r="C13" s="74">
        <f>'Kh Oil U'!C13+'Rb Oil  U'!C13</f>
        <v>65.71</v>
      </c>
      <c r="D13" s="74">
        <f>'Kh Oil U'!D13+'Rb Oil  U'!D13</f>
        <v>59.19</v>
      </c>
      <c r="E13" s="74">
        <f>'Kh Oil U'!E13+'Rb Oil  U'!E13</f>
        <v>54.418</v>
      </c>
      <c r="F13" s="74">
        <f>'Kh Oil U'!F13+'Rb Oil  U'!F13</f>
        <v>54.714</v>
      </c>
      <c r="G13" s="74">
        <f>'Kh Oil U'!G13+'Rb Oil  U'!G13</f>
        <v>51.116</v>
      </c>
      <c r="H13" s="74">
        <f>'Kh Oil U'!H13+'Rb Oil  U'!H13</f>
        <v>58.82</v>
      </c>
      <c r="I13" s="74">
        <f>'Kh Oil U'!I13+'Rb Oil  U'!I13</f>
        <v>40.39</v>
      </c>
      <c r="J13" s="74">
        <f>'Kh Oil U'!J13+'Rb Oil  U'!J13</f>
        <v>32.612392</v>
      </c>
      <c r="K13" s="74">
        <f>'Kh Oil U'!K13+'Rb Oil  U'!K13</f>
        <v>28.612000000000002</v>
      </c>
      <c r="L13" s="94">
        <f t="shared" si="0"/>
        <v>788.6446038725604</v>
      </c>
      <c r="M13" s="94">
        <f t="shared" si="1"/>
        <v>895.145335565363</v>
      </c>
      <c r="N13" s="94">
        <f t="shared" si="2"/>
        <v>682.3787801993581</v>
      </c>
      <c r="O13" s="94">
        <f t="shared" si="3"/>
        <v>599.2942041236355</v>
      </c>
      <c r="P13" s="94">
        <f t="shared" si="3"/>
        <v>522.9374565924627</v>
      </c>
    </row>
    <row r="14" spans="1:16" ht="22.5" customHeight="1">
      <c r="A14" s="18" t="s">
        <v>51</v>
      </c>
      <c r="B14" s="74">
        <f>'Kh Oil U'!B14+'Rb Oil  U'!B14</f>
        <v>250.59000000000003</v>
      </c>
      <c r="C14" s="74">
        <f>'Kh Oil U'!C14+'Rb Oil  U'!C14</f>
        <v>275.808</v>
      </c>
      <c r="D14" s="74">
        <f>'Kh Oil U'!D14+'Rb Oil  U'!D14</f>
        <v>267.52000000000004</v>
      </c>
      <c r="E14" s="74">
        <f>'Kh Oil U'!E14+'Rb Oil  U'!E14</f>
        <v>259.146</v>
      </c>
      <c r="F14" s="74">
        <f>'Kh Oil U'!F14+'Rb Oil  U'!F14</f>
        <v>360.741</v>
      </c>
      <c r="G14" s="74">
        <f>'Kh Oil U'!G14+'Rb Oil  U'!G14</f>
        <v>197.24</v>
      </c>
      <c r="H14" s="74">
        <f>'Kh Oil U'!H14+'Rb Oil  U'!H14</f>
        <v>182.86700000000002</v>
      </c>
      <c r="I14" s="74">
        <f>'Kh Oil U'!I14+'Rb Oil  U'!I14</f>
        <v>177.62</v>
      </c>
      <c r="J14" s="74">
        <f>'Kh Oil U'!J14+'Rb Oil  U'!J14</f>
        <v>176.49190000000002</v>
      </c>
      <c r="K14" s="74">
        <f>'Kh Oil U'!K14+'Rb Oil  U'!K14</f>
        <v>264.012</v>
      </c>
      <c r="L14" s="94">
        <f t="shared" si="0"/>
        <v>787.10243824574</v>
      </c>
      <c r="M14" s="94">
        <f t="shared" si="1"/>
        <v>663.0228274741851</v>
      </c>
      <c r="N14" s="94">
        <f t="shared" si="2"/>
        <v>663.9503588516745</v>
      </c>
      <c r="O14" s="94">
        <f t="shared" si="3"/>
        <v>681.0519938567448</v>
      </c>
      <c r="P14" s="94">
        <f t="shared" si="3"/>
        <v>731.8602543098789</v>
      </c>
    </row>
    <row r="15" spans="1:16" ht="22.5" customHeight="1">
      <c r="A15" s="18" t="s">
        <v>11</v>
      </c>
      <c r="B15" s="74">
        <f>'Kh Oil U'!B15+'Rb Oil  U'!B15</f>
        <v>1422</v>
      </c>
      <c r="C15" s="74">
        <f>'Kh Oil U'!C15+'Rb Oil  U'!C15</f>
        <v>1410</v>
      </c>
      <c r="D15" s="74">
        <f>'Kh Oil U'!D15+'Rb Oil  U'!D15</f>
        <v>1373</v>
      </c>
      <c r="E15" s="74">
        <f>'Kh Oil U'!E15+'Rb Oil  U'!E15</f>
        <v>1286</v>
      </c>
      <c r="F15" s="74">
        <f>'Kh Oil U'!F15+'Rb Oil  U'!F15</f>
        <v>1293</v>
      </c>
      <c r="G15" s="74">
        <f>'Kh Oil U'!G15+'Rb Oil  U'!G15</f>
        <v>919.583</v>
      </c>
      <c r="H15" s="74">
        <f>'Kh Oil U'!H15+'Rb Oil  U'!H15</f>
        <v>1162</v>
      </c>
      <c r="I15" s="74">
        <f>'Kh Oil U'!I15+'Rb Oil  U'!I15</f>
        <v>959</v>
      </c>
      <c r="J15" s="74">
        <f>'Kh Oil U'!J15+'Rb Oil  U'!J15</f>
        <v>749.67975</v>
      </c>
      <c r="K15" s="74">
        <f>'Kh Oil U'!K15+'Rb Oil  U'!K15</f>
        <v>805.8</v>
      </c>
      <c r="L15" s="94">
        <f t="shared" si="0"/>
        <v>646.682841068917</v>
      </c>
      <c r="M15" s="94">
        <f t="shared" si="1"/>
        <v>824.113475177305</v>
      </c>
      <c r="N15" s="94">
        <f t="shared" si="2"/>
        <v>698.4705025491625</v>
      </c>
      <c r="O15" s="94">
        <f t="shared" si="3"/>
        <v>582.9547045101089</v>
      </c>
      <c r="P15" s="94">
        <f t="shared" si="3"/>
        <v>623.2018561484919</v>
      </c>
    </row>
    <row r="16" spans="1:16" ht="22.5" customHeight="1">
      <c r="A16" s="18" t="s">
        <v>12</v>
      </c>
      <c r="B16" s="74">
        <f>'Kh Oil U'!B16+'Rb Oil  U'!B16</f>
        <v>1.024</v>
      </c>
      <c r="C16" s="74">
        <f>'Kh Oil U'!C16+'Rb Oil  U'!C16</f>
        <v>0.98</v>
      </c>
      <c r="D16" s="74">
        <f>'Kh Oil U'!D16+'Rb Oil  U'!D16</f>
        <v>0.74</v>
      </c>
      <c r="E16" s="74">
        <f>'Kh Oil U'!E16+'Rb Oil  U'!E16</f>
        <v>0.636</v>
      </c>
      <c r="F16" s="74">
        <f>'Kh Oil U'!F16+'Rb Oil  U'!F16</f>
        <v>4.537</v>
      </c>
      <c r="G16" s="74">
        <f>'Kh Oil U'!G16+'Rb Oil  U'!G16</f>
        <v>1.07</v>
      </c>
      <c r="H16" s="74">
        <f>'Kh Oil U'!H16+'Rb Oil  U'!H16</f>
        <v>0.96</v>
      </c>
      <c r="I16" s="74">
        <f>'Kh Oil U'!I16+'Rb Oil  U'!I16</f>
        <v>0.78</v>
      </c>
      <c r="J16" s="74">
        <f>'Kh Oil U'!J16+'Rb Oil  U'!J16</f>
        <v>0.667</v>
      </c>
      <c r="K16" s="74">
        <f>'Kh Oil U'!K16+'Rb Oil  U'!K16</f>
        <v>0.565</v>
      </c>
      <c r="L16" s="94">
        <f t="shared" si="0"/>
        <v>1044.921875</v>
      </c>
      <c r="M16" s="94">
        <f t="shared" si="1"/>
        <v>979.5918367346939</v>
      </c>
      <c r="N16" s="94">
        <f t="shared" si="2"/>
        <v>1054.0540540540542</v>
      </c>
      <c r="O16" s="94">
        <f t="shared" si="3"/>
        <v>1048.74213836478</v>
      </c>
      <c r="P16" s="94">
        <f t="shared" si="3"/>
        <v>124.53162882962309</v>
      </c>
    </row>
    <row r="17" spans="1:16" ht="22.5" customHeight="1">
      <c r="A17" s="18" t="s">
        <v>13</v>
      </c>
      <c r="B17" s="74">
        <f>'Kh Oil U'!B17+'Rb Oil  U'!B17</f>
        <v>7534.4</v>
      </c>
      <c r="C17" s="74">
        <f>'Kh Oil U'!C17+'Rb Oil  U'!C17</f>
        <v>7732.000000000001</v>
      </c>
      <c r="D17" s="74">
        <f>'Kh Oil U'!D17+'Rb Oil  U'!D17</f>
        <v>7066.1</v>
      </c>
      <c r="E17" s="74">
        <f>'Kh Oil U'!E17+'Rb Oil  U'!E17</f>
        <v>7336</v>
      </c>
      <c r="F17" s="74">
        <f>'Kh Oil U'!F17+'Rb Oil  U'!F17</f>
        <v>6986</v>
      </c>
      <c r="G17" s="74">
        <f>'Kh Oil U'!G17+'Rb Oil  U'!G17</f>
        <v>9275.9789</v>
      </c>
      <c r="H17" s="74">
        <f>'Kh Oil U'!H17+'Rb Oil  U'!H17</f>
        <v>6634.8651</v>
      </c>
      <c r="I17" s="74">
        <f>'Kh Oil U'!I17+'Rb Oil  U'!I17</f>
        <v>7724.2</v>
      </c>
      <c r="J17" s="74">
        <f>'Kh Oil U'!J17+'Rb Oil  U'!J17</f>
        <v>6171.022400000001</v>
      </c>
      <c r="K17" s="74">
        <f>'Kh Oil U'!K17+'Rb Oil  U'!K17</f>
        <v>8224</v>
      </c>
      <c r="L17" s="94">
        <f t="shared" si="0"/>
        <v>1231.1503105754937</v>
      </c>
      <c r="M17" s="94">
        <f t="shared" si="1"/>
        <v>858.1046430419037</v>
      </c>
      <c r="N17" s="94">
        <f t="shared" si="2"/>
        <v>1093.1348268493227</v>
      </c>
      <c r="O17" s="94">
        <f t="shared" si="3"/>
        <v>841.1971646673938</v>
      </c>
      <c r="P17" s="94">
        <f t="shared" si="3"/>
        <v>1177.211565989121</v>
      </c>
    </row>
    <row r="18" spans="1:16" ht="22.5" customHeight="1">
      <c r="A18" s="18" t="s">
        <v>14</v>
      </c>
      <c r="B18" s="74">
        <f>'Kh Oil U'!B18+'Rb Oil  U'!B18</f>
        <v>3806</v>
      </c>
      <c r="C18" s="74">
        <f>'Kh Oil U'!C18+'Rb Oil  U'!C18</f>
        <v>4148</v>
      </c>
      <c r="D18" s="74">
        <f>'Kh Oil U'!D18+'Rb Oil  U'!D18</f>
        <v>4242</v>
      </c>
      <c r="E18" s="74">
        <f>'Kh Oil U'!E18+'Rb Oil  U'!E18</f>
        <v>4204</v>
      </c>
      <c r="F18" s="74">
        <f>'Kh Oil U'!F18+'Rb Oil  U'!F18</f>
        <v>4408.8</v>
      </c>
      <c r="G18" s="74">
        <f>'Kh Oil U'!G18+'Rb Oil  U'!G18</f>
        <v>5086.769</v>
      </c>
      <c r="H18" s="74">
        <f>'Kh Oil U'!H18+'Rb Oil  U'!H18</f>
        <v>5293.926420454545</v>
      </c>
      <c r="I18" s="74">
        <f>'Kh Oil U'!I18+'Rb Oil  U'!I18</f>
        <v>2850.2</v>
      </c>
      <c r="J18" s="74">
        <f>'Kh Oil U'!J18+'Rb Oil  U'!J18</f>
        <v>2436.0885</v>
      </c>
      <c r="K18" s="74">
        <f>'Kh Oil U'!K18+'Rb Oil  U'!K18</f>
        <v>5113.5</v>
      </c>
      <c r="L18" s="94">
        <f t="shared" si="0"/>
        <v>1336.5131371518655</v>
      </c>
      <c r="M18" s="94">
        <f t="shared" si="1"/>
        <v>1276.2599856447794</v>
      </c>
      <c r="N18" s="94">
        <f t="shared" si="2"/>
        <v>671.9000471475719</v>
      </c>
      <c r="O18" s="94">
        <f t="shared" si="3"/>
        <v>579.4691960038059</v>
      </c>
      <c r="P18" s="94">
        <f t="shared" si="3"/>
        <v>1159.839412084921</v>
      </c>
    </row>
    <row r="19" spans="1:16" ht="22.5" customHeight="1">
      <c r="A19" s="18" t="s">
        <v>37</v>
      </c>
      <c r="B19" s="74">
        <f>'Kh Oil U'!B19+'Rb Oil  U'!B19</f>
        <v>44.1</v>
      </c>
      <c r="C19" s="74">
        <f>'Kh Oil U'!C19+'Rb Oil  U'!C19</f>
        <v>36.92</v>
      </c>
      <c r="D19" s="74">
        <f>'Kh Oil U'!D19+'Rb Oil  U'!D19</f>
        <v>36.69</v>
      </c>
      <c r="E19" s="74">
        <f>'Kh Oil U'!E19+'Rb Oil  U'!E19</f>
        <v>37.49</v>
      </c>
      <c r="F19" s="74">
        <f>'Kh Oil U'!F19+'Rb Oil  U'!F19</f>
        <v>37.62</v>
      </c>
      <c r="G19" s="74">
        <f>'Kh Oil U'!G19+'Rb Oil  U'!G19</f>
        <v>32.14</v>
      </c>
      <c r="H19" s="74">
        <f>'Kh Oil U'!H19+'Rb Oil  U'!H19</f>
        <v>31.01</v>
      </c>
      <c r="I19" s="74">
        <f>'Kh Oil U'!I19+'Rb Oil  U'!I19</f>
        <v>31.68</v>
      </c>
      <c r="J19" s="74">
        <f>'Kh Oil U'!J19+'Rb Oil  U'!J19</f>
        <v>31.77</v>
      </c>
      <c r="K19" s="74">
        <f>'Kh Oil U'!K19+'Rb Oil  U'!K19</f>
        <v>32.28</v>
      </c>
      <c r="L19" s="94">
        <f t="shared" si="0"/>
        <v>728.798185941043</v>
      </c>
      <c r="M19" s="94">
        <f t="shared" si="1"/>
        <v>839.9241603466955</v>
      </c>
      <c r="N19" s="94">
        <f t="shared" si="2"/>
        <v>863.4505314799673</v>
      </c>
      <c r="O19" s="94">
        <f t="shared" si="3"/>
        <v>847.4259802614031</v>
      </c>
      <c r="P19" s="94">
        <f t="shared" si="3"/>
        <v>858.0542264752792</v>
      </c>
    </row>
    <row r="20" spans="1:16" ht="22.5" customHeight="1">
      <c r="A20" s="18" t="s">
        <v>38</v>
      </c>
      <c r="B20" s="74">
        <f>'Kh Oil U'!B20+'Rb Oil  U'!B20</f>
        <v>9.952000000000002</v>
      </c>
      <c r="C20" s="74">
        <f>'Kh Oil U'!C20+'Rb Oil  U'!C20</f>
        <v>13.719999999999999</v>
      </c>
      <c r="D20" s="74">
        <f>'Kh Oil U'!D20+'Rb Oil  U'!D20</f>
        <v>13.87</v>
      </c>
      <c r="E20" s="74">
        <f>'Kh Oil U'!E20+'Rb Oil  U'!E20</f>
        <v>13.918</v>
      </c>
      <c r="F20" s="74">
        <f>'Kh Oil U'!F20+'Rb Oil  U'!F20</f>
        <v>14.219999999999999</v>
      </c>
      <c r="G20" s="74">
        <f>'Kh Oil U'!G20+'Rb Oil  U'!G20</f>
        <v>6.913</v>
      </c>
      <c r="H20" s="74">
        <f>'Kh Oil U'!H20+'Rb Oil  U'!H20</f>
        <v>14.13</v>
      </c>
      <c r="I20" s="74">
        <f>'Kh Oil U'!I20+'Rb Oil  U'!I20</f>
        <v>14.86</v>
      </c>
      <c r="J20" s="74">
        <f>'Kh Oil U'!J20+'Rb Oil  U'!J20</f>
        <v>15.186</v>
      </c>
      <c r="K20" s="74">
        <f>'Kh Oil U'!K20+'Rb Oil  U'!K20</f>
        <v>14.947</v>
      </c>
      <c r="L20" s="94">
        <f t="shared" si="0"/>
        <v>694.6342443729902</v>
      </c>
      <c r="M20" s="94">
        <f t="shared" si="1"/>
        <v>1029.8833819241984</v>
      </c>
      <c r="N20" s="94">
        <f t="shared" si="2"/>
        <v>1071.3770728190339</v>
      </c>
      <c r="O20" s="94">
        <f t="shared" si="3"/>
        <v>1091.1050438281363</v>
      </c>
      <c r="P20" s="94">
        <f t="shared" si="3"/>
        <v>1051.12517580872</v>
      </c>
    </row>
    <row r="21" spans="1:16" ht="22.5" customHeight="1">
      <c r="A21" s="18" t="s">
        <v>39</v>
      </c>
      <c r="B21" s="74">
        <f>'Kh Oil U'!B21+'Rb Oil  U'!B21</f>
        <v>2.05</v>
      </c>
      <c r="C21" s="74">
        <f>'Kh Oil U'!C21+'Rb Oil  U'!C21</f>
        <v>2.05</v>
      </c>
      <c r="D21" s="74">
        <f>'Kh Oil U'!D21+'Rb Oil  U'!D21</f>
        <v>2.13</v>
      </c>
      <c r="E21" s="74">
        <f>'Kh Oil U'!E21+'Rb Oil  U'!E21</f>
        <v>2.659</v>
      </c>
      <c r="F21" s="74">
        <f>'Kh Oil U'!F21+'Rb Oil  U'!F21</f>
        <v>2.195</v>
      </c>
      <c r="G21" s="74">
        <f>'Kh Oil U'!G21+'Rb Oil  U'!G21</f>
        <v>2.21</v>
      </c>
      <c r="H21" s="74">
        <f>'Kh Oil U'!H21+'Rb Oil  U'!H21</f>
        <v>2.35</v>
      </c>
      <c r="I21" s="74">
        <f>'Kh Oil U'!I21+'Rb Oil  U'!I21</f>
        <v>2.38</v>
      </c>
      <c r="J21" s="74">
        <f>'Kh Oil U'!J21+'Rb Oil  U'!J21</f>
        <v>2.957</v>
      </c>
      <c r="K21" s="74">
        <f>'Kh Oil U'!K21+'Rb Oil  U'!K21</f>
        <v>2.503</v>
      </c>
      <c r="L21" s="94">
        <f t="shared" si="0"/>
        <v>1078.0487804878048</v>
      </c>
      <c r="M21" s="94">
        <f t="shared" si="1"/>
        <v>1146.3414634146343</v>
      </c>
      <c r="N21" s="94">
        <f t="shared" si="2"/>
        <v>1117.3708920187792</v>
      </c>
      <c r="O21" s="94">
        <f t="shared" si="3"/>
        <v>1112.072207596841</v>
      </c>
      <c r="P21" s="94">
        <f t="shared" si="3"/>
        <v>1140.3189066059226</v>
      </c>
    </row>
    <row r="22" spans="1:16" ht="22.5" customHeight="1">
      <c r="A22" s="18" t="s">
        <v>15</v>
      </c>
      <c r="B22" s="74">
        <f>'Kh Oil U'!B22+'Rb Oil  U'!B22</f>
        <v>64.51</v>
      </c>
      <c r="C22" s="74">
        <f>'Kh Oil U'!C22+'Rb Oil  U'!C22</f>
        <v>64.75</v>
      </c>
      <c r="D22" s="74">
        <f>'Kh Oil U'!D22+'Rb Oil  U'!D22</f>
        <v>64.95</v>
      </c>
      <c r="E22" s="74">
        <f>'Kh Oil U'!E22+'Rb Oil  U'!E22</f>
        <v>65.5</v>
      </c>
      <c r="F22" s="74">
        <f>'Kh Oil U'!F22+'Rb Oil  U'!F22</f>
        <v>65.65</v>
      </c>
      <c r="G22" s="74">
        <f>'Kh Oil U'!G22+'Rb Oil  U'!G22</f>
        <v>67.52000000000001</v>
      </c>
      <c r="H22" s="74">
        <f>'Kh Oil U'!H22+'Rb Oil  U'!H22</f>
        <v>67.89</v>
      </c>
      <c r="I22" s="74">
        <f>'Kh Oil U'!I22+'Rb Oil  U'!I22</f>
        <v>68.09</v>
      </c>
      <c r="J22" s="74">
        <f>'Kh Oil U'!J22+'Rb Oil  U'!J22</f>
        <v>68.6</v>
      </c>
      <c r="K22" s="74">
        <f>'Kh Oil U'!K22+'Rb Oil  U'!K22</f>
        <v>68.93</v>
      </c>
      <c r="L22" s="94">
        <f t="shared" si="0"/>
        <v>1046.6594326461013</v>
      </c>
      <c r="M22" s="94">
        <f t="shared" si="1"/>
        <v>1048.4942084942086</v>
      </c>
      <c r="N22" s="94">
        <f t="shared" si="2"/>
        <v>1048.3448806774443</v>
      </c>
      <c r="O22" s="94">
        <f t="shared" si="3"/>
        <v>1047.328244274809</v>
      </c>
      <c r="P22" s="94">
        <f t="shared" si="3"/>
        <v>1049.9619192688501</v>
      </c>
    </row>
    <row r="23" spans="1:16" ht="22.5" customHeight="1">
      <c r="A23" s="18" t="s">
        <v>111</v>
      </c>
      <c r="B23" s="74">
        <f>'Kh Oil U'!B23+'Rb Oil  U'!B23</f>
        <v>243.28500000000003</v>
      </c>
      <c r="C23" s="74">
        <f>'Kh Oil U'!C23+'Rb Oil  U'!C23</f>
        <v>223.38</v>
      </c>
      <c r="D23" s="74">
        <f>'Kh Oil U'!D23+'Rb Oil  U'!D23</f>
        <v>212.01999999999998</v>
      </c>
      <c r="E23" s="74">
        <f>'Kh Oil U'!E23+'Rb Oil  U'!E23</f>
        <v>190.05</v>
      </c>
      <c r="F23" s="74">
        <f>'Kh Oil U'!F23+'Rb Oil  U'!F23</f>
        <v>177.89000000000001</v>
      </c>
      <c r="G23" s="74">
        <f>'Kh Oil U'!G23+'Rb Oil  U'!G23</f>
        <v>170.25</v>
      </c>
      <c r="H23" s="74">
        <f>'Kh Oil U'!H23+'Rb Oil  U'!H23</f>
        <v>168.76</v>
      </c>
      <c r="I23" s="74">
        <f>'Kh Oil U'!I23+'Rb Oil  U'!I23</f>
        <v>141.48000000000002</v>
      </c>
      <c r="J23" s="74">
        <f>'Kh Oil U'!J23+'Rb Oil  U'!J23</f>
        <v>120.11389999999999</v>
      </c>
      <c r="K23" s="74">
        <f>'Kh Oil U'!K23+'Rb Oil  U'!K23</f>
        <v>121.21000000000001</v>
      </c>
      <c r="L23" s="94">
        <f t="shared" si="0"/>
        <v>699.7965349281707</v>
      </c>
      <c r="M23" s="94">
        <f t="shared" si="1"/>
        <v>755.4839287313099</v>
      </c>
      <c r="N23" s="94">
        <f t="shared" si="2"/>
        <v>667.2955381567778</v>
      </c>
      <c r="O23" s="94">
        <f t="shared" si="3"/>
        <v>632.0121020784003</v>
      </c>
      <c r="P23" s="94">
        <f t="shared" si="3"/>
        <v>681.3761313171061</v>
      </c>
    </row>
    <row r="24" spans="1:16" ht="22.5" customHeight="1">
      <c r="A24" s="18" t="s">
        <v>17</v>
      </c>
      <c r="B24" s="74">
        <f>'Kh Oil U'!B24+'Rb Oil  U'!B24</f>
        <v>51.4</v>
      </c>
      <c r="C24" s="74">
        <f>'Kh Oil U'!C24+'Rb Oil  U'!C24</f>
        <v>48.1</v>
      </c>
      <c r="D24" s="74">
        <f>'Kh Oil U'!D24+'Rb Oil  U'!D24</f>
        <v>45.6</v>
      </c>
      <c r="E24" s="74">
        <f>'Kh Oil U'!E24+'Rb Oil  U'!E24</f>
        <v>43.1</v>
      </c>
      <c r="F24" s="74">
        <f>'Kh Oil U'!F24+'Rb Oil  U'!F24</f>
        <v>41.7</v>
      </c>
      <c r="G24" s="74">
        <f>'Kh Oil U'!G24+'Rb Oil  U'!G24</f>
        <v>69.4</v>
      </c>
      <c r="H24" s="74">
        <f>'Kh Oil U'!H24+'Rb Oil  U'!H24</f>
        <v>64.2</v>
      </c>
      <c r="I24" s="74">
        <f>'Kh Oil U'!I24+'Rb Oil  U'!I24</f>
        <v>57.7</v>
      </c>
      <c r="J24" s="74">
        <f>'Kh Oil U'!J24+'Rb Oil  U'!J24</f>
        <v>56.8</v>
      </c>
      <c r="K24" s="74">
        <f>'Kh Oil U'!K24+'Rb Oil  U'!K24</f>
        <v>57.8</v>
      </c>
      <c r="L24" s="94">
        <f t="shared" si="0"/>
        <v>1350.194552529183</v>
      </c>
      <c r="M24" s="94">
        <f t="shared" si="1"/>
        <v>1334.7193347193347</v>
      </c>
      <c r="N24" s="94">
        <f t="shared" si="2"/>
        <v>1265.3508771929824</v>
      </c>
      <c r="O24" s="94">
        <f t="shared" si="3"/>
        <v>1317.8654292343385</v>
      </c>
      <c r="P24" s="94">
        <f t="shared" si="3"/>
        <v>1386.091127098321</v>
      </c>
    </row>
    <row r="25" spans="1:16" ht="22.5" customHeight="1">
      <c r="A25" s="18" t="s">
        <v>18</v>
      </c>
      <c r="B25" s="74">
        <f>'Kh Oil U'!B25+'Rb Oil  U'!B25</f>
        <v>4912.24</v>
      </c>
      <c r="C25" s="74">
        <f>'Kh Oil U'!C25+'Rb Oil  U'!C25</f>
        <v>5274.02</v>
      </c>
      <c r="D25" s="74">
        <f>'Kh Oil U'!D25+'Rb Oil  U'!D25</f>
        <v>4457.15</v>
      </c>
      <c r="E25" s="74">
        <f>'Kh Oil U'!E25+'Rb Oil  U'!E25</f>
        <v>4813.960999999999</v>
      </c>
      <c r="F25" s="74">
        <f>'Kh Oil U'!F25+'Rb Oil  U'!F25</f>
        <v>4619.639999999999</v>
      </c>
      <c r="G25" s="74">
        <f>'Kh Oil U'!G25+'Rb Oil  U'!G25</f>
        <v>6364.601</v>
      </c>
      <c r="H25" s="74">
        <f>'Kh Oil U'!H25+'Rb Oil  U'!H25</f>
        <v>6033.762</v>
      </c>
      <c r="I25" s="74">
        <f>'Kh Oil U'!I25+'Rb Oil  U'!I25</f>
        <v>5314.34</v>
      </c>
      <c r="J25" s="74">
        <f>'Kh Oil U'!J25+'Rb Oil  U'!J25</f>
        <v>5692.4978169999995</v>
      </c>
      <c r="K25" s="74">
        <f>'Kh Oil U'!K25+'Rb Oil  U'!K25</f>
        <v>6240.2142</v>
      </c>
      <c r="L25" s="94">
        <f t="shared" si="0"/>
        <v>1295.6616533394133</v>
      </c>
      <c r="M25" s="94">
        <f t="shared" si="1"/>
        <v>1144.0536820110653</v>
      </c>
      <c r="N25" s="94">
        <f t="shared" si="2"/>
        <v>1192.3179610289087</v>
      </c>
      <c r="O25" s="94">
        <f t="shared" si="3"/>
        <v>1182.4977013731518</v>
      </c>
      <c r="P25" s="94">
        <f t="shared" si="3"/>
        <v>1350.8009715042733</v>
      </c>
    </row>
    <row r="26" spans="1:16" ht="22.5" customHeight="1">
      <c r="A26" s="18" t="s">
        <v>52</v>
      </c>
      <c r="B26" s="74">
        <f>'Kh Oil U'!B26+'Rb Oil  U'!B26</f>
        <v>8.24</v>
      </c>
      <c r="C26" s="74">
        <f>'Kh Oil U'!C26+'Rb Oil  U'!C26</f>
        <v>7.95</v>
      </c>
      <c r="D26" s="74">
        <f>'Kh Oil U'!D26+'Rb Oil  U'!D26</f>
        <v>7.92</v>
      </c>
      <c r="E26" s="74">
        <f>'Kh Oil U'!E26+'Rb Oil  U'!E26</f>
        <v>6.9399999999999995</v>
      </c>
      <c r="F26" s="74">
        <f>'Kh Oil U'!F26+'Rb Oil  U'!F26</f>
        <v>6.949999999999999</v>
      </c>
      <c r="G26" s="74">
        <f>'Kh Oil U'!G26+'Rb Oil  U'!G26</f>
        <v>7.109999999999999</v>
      </c>
      <c r="H26" s="74">
        <f>'Kh Oil U'!H26+'Rb Oil  U'!H26</f>
        <v>7.05</v>
      </c>
      <c r="I26" s="74">
        <f>'Kh Oil U'!I26+'Rb Oil  U'!I26</f>
        <v>7.0600000000000005</v>
      </c>
      <c r="J26" s="74">
        <f>'Kh Oil U'!J26+'Rb Oil  U'!J26</f>
        <v>6.3100000000000005</v>
      </c>
      <c r="K26" s="74">
        <f>'Kh Oil U'!K26+'Rb Oil  U'!K26</f>
        <v>6.378</v>
      </c>
      <c r="L26" s="94">
        <f t="shared" si="0"/>
        <v>862.8640776699028</v>
      </c>
      <c r="M26" s="94">
        <f t="shared" si="1"/>
        <v>886.7924528301886</v>
      </c>
      <c r="N26" s="94">
        <f t="shared" si="2"/>
        <v>891.4141414141415</v>
      </c>
      <c r="O26" s="94">
        <f t="shared" si="3"/>
        <v>909.2219020172912</v>
      </c>
      <c r="P26" s="94">
        <f t="shared" si="3"/>
        <v>917.6978417266189</v>
      </c>
    </row>
    <row r="27" spans="1:16" ht="22.5" customHeight="1">
      <c r="A27" s="18" t="s">
        <v>19</v>
      </c>
      <c r="B27" s="74">
        <f>'Kh Oil U'!B27+'Rb Oil  U'!B27</f>
        <v>388.53</v>
      </c>
      <c r="C27" s="74">
        <f>'Kh Oil U'!C27+'Rb Oil  U'!C27</f>
        <v>408.17</v>
      </c>
      <c r="D27" s="74">
        <f>'Kh Oil U'!D27+'Rb Oil  U'!D27</f>
        <v>415</v>
      </c>
      <c r="E27" s="74">
        <f>'Kh Oil U'!E27+'Rb Oil  U'!E27</f>
        <v>407.04999999999995</v>
      </c>
      <c r="F27" s="74">
        <f>'Kh Oil U'!F27+'Rb Oil  U'!F27</f>
        <v>323.08</v>
      </c>
      <c r="G27" s="74">
        <f>'Kh Oil U'!G27+'Rb Oil  U'!G27</f>
        <v>816.9179999999999</v>
      </c>
      <c r="H27" s="74">
        <f>'Kh Oil U'!H27+'Rb Oil  U'!H27</f>
        <v>964.23</v>
      </c>
      <c r="I27" s="74">
        <f>'Kh Oil U'!I27+'Rb Oil  U'!I27</f>
        <v>985.3399999999999</v>
      </c>
      <c r="J27" s="74">
        <f>'Kh Oil U'!J27+'Rb Oil  U'!J27</f>
        <v>932.2299999999998</v>
      </c>
      <c r="K27" s="74">
        <f>'Kh Oil U'!K27+'Rb Oil  U'!K27</f>
        <v>604.1200000000001</v>
      </c>
      <c r="L27" s="94">
        <f t="shared" si="0"/>
        <v>2102.586672843796</v>
      </c>
      <c r="M27" s="94">
        <f t="shared" si="1"/>
        <v>2362.324521645393</v>
      </c>
      <c r="N27" s="94">
        <f t="shared" si="2"/>
        <v>2374.313253012048</v>
      </c>
      <c r="O27" s="94">
        <f t="shared" si="3"/>
        <v>2290.2100479056626</v>
      </c>
      <c r="P27" s="94">
        <f t="shared" si="3"/>
        <v>1869.8774297387647</v>
      </c>
    </row>
    <row r="28" spans="1:16" ht="22.5" customHeight="1">
      <c r="A28" s="18" t="s">
        <v>116</v>
      </c>
      <c r="B28" s="74">
        <f>'Kh Oil U'!B28+'Rb Oil  U'!B28</f>
        <v>505.5</v>
      </c>
      <c r="C28" s="74">
        <f>'Kh Oil U'!C28+'Rb Oil  U'!C28</f>
        <v>631.6506266318537</v>
      </c>
      <c r="D28" s="74">
        <f>'Kh Oil U'!D28+'Rb Oil  U'!D28</f>
        <v>496</v>
      </c>
      <c r="E28" s="74">
        <f>'Kh Oil U'!E28+'Rb Oil  U'!E28</f>
        <v>450</v>
      </c>
      <c r="F28" s="74">
        <f>'Kh Oil U'!F28+'Rb Oil  U'!F28</f>
        <v>522</v>
      </c>
      <c r="G28" s="74">
        <f>'Kh Oil U'!G28+'Rb Oil  U'!G28</f>
        <v>722.78</v>
      </c>
      <c r="H28" s="74">
        <f>'Kh Oil U'!H28+'Rb Oil  U'!H28</f>
        <v>862.9859881597297</v>
      </c>
      <c r="I28" s="74">
        <f>'Kh Oil U'!I28+'Rb Oil  U'!I28</f>
        <v>630</v>
      </c>
      <c r="J28" s="74">
        <f>'Kh Oil U'!J28+'Rb Oil  U'!J28</f>
        <v>496</v>
      </c>
      <c r="K28" s="74">
        <f>'Kh Oil U'!K28+'Rb Oil  U'!K28</f>
        <v>723</v>
      </c>
      <c r="L28" s="94">
        <f t="shared" si="0"/>
        <v>1429.8318496538081</v>
      </c>
      <c r="M28" s="94">
        <f t="shared" si="1"/>
        <v>1366.2394237799208</v>
      </c>
      <c r="N28" s="94">
        <f t="shared" si="2"/>
        <v>1270.1612903225807</v>
      </c>
      <c r="O28" s="94">
        <f t="shared" si="3"/>
        <v>1102.2222222222222</v>
      </c>
      <c r="P28" s="94">
        <f t="shared" si="3"/>
        <v>1385.0574712643677</v>
      </c>
    </row>
    <row r="29" spans="1:16" ht="22.5" customHeight="1">
      <c r="A29" s="18" t="s">
        <v>53</v>
      </c>
      <c r="B29" s="74">
        <f>'Kh Oil U'!B29+'Rb Oil  U'!B29</f>
        <v>4.8100000000000005</v>
      </c>
      <c r="C29" s="74">
        <f>'Kh Oil U'!C29+'Rb Oil  U'!C29</f>
        <v>6.050000000000001</v>
      </c>
      <c r="D29" s="74">
        <f>'Kh Oil U'!D29+'Rb Oil  U'!D29</f>
        <v>8.9</v>
      </c>
      <c r="E29" s="74">
        <f>'Kh Oil U'!E29+'Rb Oil  U'!E29</f>
        <v>11.691</v>
      </c>
      <c r="F29" s="74">
        <f>'Kh Oil U'!F29+'Rb Oil  U'!F29</f>
        <v>15.373000000000001</v>
      </c>
      <c r="G29" s="74">
        <f>'Kh Oil U'!G29+'Rb Oil  U'!G29</f>
        <v>2.432</v>
      </c>
      <c r="H29" s="74">
        <f>'Kh Oil U'!H29+'Rb Oil  U'!H29</f>
        <v>4.59</v>
      </c>
      <c r="I29" s="74">
        <f>'Kh Oil U'!I29+'Rb Oil  U'!I29</f>
        <v>7.0600000000000005</v>
      </c>
      <c r="J29" s="74">
        <f>'Kh Oil U'!J29+'Rb Oil  U'!J29</f>
        <v>9.014</v>
      </c>
      <c r="K29" s="74">
        <f>'Kh Oil U'!K29+'Rb Oil  U'!K29</f>
        <v>12.508000000000001</v>
      </c>
      <c r="L29" s="94">
        <f t="shared" si="0"/>
        <v>505.61330561330556</v>
      </c>
      <c r="M29" s="94">
        <f t="shared" si="1"/>
        <v>758.6776859504131</v>
      </c>
      <c r="N29" s="94">
        <f t="shared" si="2"/>
        <v>793.2584269662921</v>
      </c>
      <c r="O29" s="94">
        <f t="shared" si="3"/>
        <v>771.0204430758703</v>
      </c>
      <c r="P29" s="94">
        <f t="shared" si="3"/>
        <v>813.6342938918883</v>
      </c>
    </row>
    <row r="30" spans="1:16" ht="22.5" customHeight="1">
      <c r="A30" s="18" t="s">
        <v>22</v>
      </c>
      <c r="B30" s="74">
        <f>'Kh Oil U'!B30+'Rb Oil  U'!B30</f>
        <v>1147</v>
      </c>
      <c r="C30" s="74">
        <f>'Kh Oil U'!C30+'Rb Oil  U'!C30</f>
        <v>1106</v>
      </c>
      <c r="D30" s="74">
        <f>'Kh Oil U'!D30+'Rb Oil  U'!D30</f>
        <v>1127</v>
      </c>
      <c r="E30" s="74">
        <f>'Kh Oil U'!E30+'Rb Oil  U'!E30</f>
        <v>1291</v>
      </c>
      <c r="F30" s="74">
        <f>'Kh Oil U'!F30+'Rb Oil  U'!F30</f>
        <v>1199.2</v>
      </c>
      <c r="G30" s="74">
        <f>'Kh Oil U'!G30+'Rb Oil  U'!G30</f>
        <v>1030.5</v>
      </c>
      <c r="H30" s="74">
        <f>'Kh Oil U'!H30+'Rb Oil  U'!H30</f>
        <v>895.806</v>
      </c>
      <c r="I30" s="74">
        <f>'Kh Oil U'!I30+'Rb Oil  U'!I30</f>
        <v>787.18</v>
      </c>
      <c r="J30" s="74">
        <f>'Kh Oil U'!J30+'Rb Oil  U'!J30</f>
        <v>864.5148</v>
      </c>
      <c r="K30" s="74">
        <f>'Kh Oil U'!K30+'Rb Oil  U'!K30</f>
        <v>1050.2228</v>
      </c>
      <c r="L30" s="94">
        <f t="shared" si="0"/>
        <v>898.4306887532694</v>
      </c>
      <c r="M30" s="94">
        <f t="shared" si="1"/>
        <v>809.9511754068717</v>
      </c>
      <c r="N30" s="94">
        <f t="shared" si="2"/>
        <v>698.4738243123336</v>
      </c>
      <c r="O30" s="94">
        <f t="shared" si="3"/>
        <v>669.647405112316</v>
      </c>
      <c r="P30" s="94">
        <f t="shared" si="3"/>
        <v>875.7695130086724</v>
      </c>
    </row>
    <row r="31" spans="1:16" ht="22.5" customHeight="1">
      <c r="A31" s="18" t="s">
        <v>86</v>
      </c>
      <c r="B31" s="74">
        <f>'Kh Oil U'!B31+'Rb Oil  U'!B31</f>
        <v>32.17999999999999</v>
      </c>
      <c r="C31" s="74">
        <f>'Kh Oil U'!C31+'Rb Oil  U'!C31</f>
        <v>31.84</v>
      </c>
      <c r="D31" s="74">
        <f>'Kh Oil U'!D31+'Rb Oil  U'!D31</f>
        <v>31.58</v>
      </c>
      <c r="E31" s="74">
        <f>'Kh Oil U'!E31+'Rb Oil  U'!E31</f>
        <v>32.41</v>
      </c>
      <c r="F31" s="74">
        <f>'Kh Oil U'!F31+'Rb Oil  U'!F31</f>
        <v>28</v>
      </c>
      <c r="G31" s="74">
        <f>'Kh Oil U'!G31+'Rb Oil  U'!G31</f>
        <v>39.730000000000004</v>
      </c>
      <c r="H31" s="74">
        <f>'Kh Oil U'!H31+'Rb Oil  U'!H31</f>
        <v>34.07</v>
      </c>
      <c r="I31" s="74">
        <f>'Kh Oil U'!I31+'Rb Oil  U'!I31</f>
        <v>29.62</v>
      </c>
      <c r="J31" s="74">
        <f>'Kh Oil U'!J31+'Rb Oil  U'!J31</f>
        <v>35.64</v>
      </c>
      <c r="K31" s="74">
        <f>'Kh Oil U'!K31+'Rb Oil  U'!K31</f>
        <v>26</v>
      </c>
      <c r="L31" s="94">
        <f t="shared" si="0"/>
        <v>1234.617775015538</v>
      </c>
      <c r="M31" s="94">
        <f t="shared" si="1"/>
        <v>1070.0376884422112</v>
      </c>
      <c r="N31" s="94">
        <f t="shared" si="2"/>
        <v>937.9354021532616</v>
      </c>
      <c r="O31" s="94">
        <f t="shared" si="3"/>
        <v>1099.660598580685</v>
      </c>
      <c r="P31" s="94">
        <f t="shared" si="3"/>
        <v>928.5714285714286</v>
      </c>
    </row>
    <row r="32" spans="1:16" ht="22.5" customHeight="1">
      <c r="A32" s="18" t="s">
        <v>23</v>
      </c>
      <c r="B32" s="74">
        <f>'Kh Oil U'!B32+'Rb Oil  U'!B32</f>
        <v>732.0799999999999</v>
      </c>
      <c r="C32" s="74">
        <f>'Kh Oil U'!C32+'Rb Oil  U'!C32</f>
        <v>770.292</v>
      </c>
      <c r="D32" s="74">
        <f>'Kh Oil U'!D32+'Rb Oil  U'!D32</f>
        <v>776.4399999999999</v>
      </c>
      <c r="E32" s="74">
        <f>'Kh Oil U'!E32+'Rb Oil  U'!E32</f>
        <v>793.473</v>
      </c>
      <c r="F32" s="74">
        <f>'Kh Oil U'!F32+'Rb Oil  U'!F32</f>
        <v>792.212</v>
      </c>
      <c r="G32" s="74">
        <f>'Kh Oil U'!G32+'Rb Oil  U'!G32</f>
        <v>850.68</v>
      </c>
      <c r="H32" s="74">
        <f>'Kh Oil U'!H32+'Rb Oil  U'!H32</f>
        <v>909.863</v>
      </c>
      <c r="I32" s="74">
        <f>'Kh Oil U'!I32+'Rb Oil  U'!I32</f>
        <v>901.3599999999999</v>
      </c>
      <c r="J32" s="74">
        <f>'Kh Oil U'!J32+'Rb Oil  U'!J32</f>
        <v>926.885</v>
      </c>
      <c r="K32" s="74">
        <f>'Kh Oil U'!K32+'Rb Oil  U'!K32</f>
        <v>908.7269999999999</v>
      </c>
      <c r="L32" s="94">
        <f t="shared" si="0"/>
        <v>1162.0041525516338</v>
      </c>
      <c r="M32" s="94">
        <f t="shared" si="1"/>
        <v>1181.1923270655805</v>
      </c>
      <c r="N32" s="94">
        <f t="shared" si="2"/>
        <v>1160.8881562000927</v>
      </c>
      <c r="O32" s="94">
        <f t="shared" si="3"/>
        <v>1168.1367860028004</v>
      </c>
      <c r="P32" s="94">
        <f t="shared" si="3"/>
        <v>1147.0755302873472</v>
      </c>
    </row>
    <row r="33" spans="1:16" ht="22.5" customHeight="1">
      <c r="A33" s="18" t="s">
        <v>114</v>
      </c>
      <c r="B33" s="74">
        <f>'Kh Oil U'!B33+'Rb Oil  U'!B33</f>
        <v>0</v>
      </c>
      <c r="C33" s="74">
        <f>'Kh Oil U'!C33+'Rb Oil  U'!C33</f>
        <v>0.039</v>
      </c>
      <c r="D33" s="74">
        <f>'Kh Oil U'!D33+'Rb Oil  U'!D33</f>
        <v>0.012</v>
      </c>
      <c r="E33" s="74">
        <f>'Kh Oil U'!E33+'Rb Oil  U'!E33</f>
        <v>0.0403</v>
      </c>
      <c r="F33" s="74">
        <f>'Kh Oil U'!F33+'Rb Oil  U'!F33</f>
        <v>0.0085</v>
      </c>
      <c r="G33" s="74">
        <f>'Kh Oil U'!G33+'Rb Oil  U'!G33</f>
        <v>0</v>
      </c>
      <c r="H33" s="74">
        <f>'Kh Oil U'!H33+'Rb Oil  U'!H33</f>
        <v>0.013000000000000001</v>
      </c>
      <c r="I33" s="74">
        <f>'Kh Oil U'!I33+'Rb Oil  U'!I33</f>
        <v>0.01</v>
      </c>
      <c r="J33" s="74">
        <f>'Kh Oil U'!J33+'Rb Oil  U'!J33</f>
        <v>0.00805</v>
      </c>
      <c r="K33" s="74">
        <f>'Kh Oil U'!K33+'Rb Oil  U'!K33</f>
        <v>0.00221</v>
      </c>
      <c r="L33" s="94">
        <v>0</v>
      </c>
      <c r="M33" s="94">
        <f aca="true" t="shared" si="4" ref="M33:P37">H33/C33*1000</f>
        <v>333.33333333333337</v>
      </c>
      <c r="N33" s="94">
        <f t="shared" si="4"/>
        <v>833.3333333333334</v>
      </c>
      <c r="O33" s="94">
        <f t="shared" si="4"/>
        <v>199.75186104218363</v>
      </c>
      <c r="P33" s="94">
        <f t="shared" si="4"/>
        <v>260</v>
      </c>
    </row>
    <row r="34" spans="1:16" ht="22.5" customHeight="1">
      <c r="A34" s="18" t="s">
        <v>54</v>
      </c>
      <c r="B34" s="74">
        <f>'Kh Oil U'!B34+'Rb Oil  U'!B34</f>
        <v>0.139</v>
      </c>
      <c r="C34" s="74">
        <f>'Kh Oil U'!C34+'Rb Oil  U'!C34</f>
        <v>0.18000000000000002</v>
      </c>
      <c r="D34" s="74">
        <f>'Kh Oil U'!D34+'Rb Oil  U'!D34</f>
        <v>0.14</v>
      </c>
      <c r="E34" s="74">
        <f>'Kh Oil U'!E34+'Rb Oil  U'!E34</f>
        <v>0</v>
      </c>
      <c r="F34" s="74">
        <f>'Kh Oil U'!F34+'Rb Oil  U'!F34</f>
        <v>0.040999999999999995</v>
      </c>
      <c r="G34" s="74">
        <f>'Kh Oil U'!G34+'Rb Oil  U'!G34</f>
        <v>0.084</v>
      </c>
      <c r="H34" s="74">
        <f>'Kh Oil U'!H34+'Rb Oil  U'!H34</f>
        <v>0.12</v>
      </c>
      <c r="I34" s="74">
        <f>'Kh Oil U'!I34+'Rb Oil  U'!I34</f>
        <v>0.08</v>
      </c>
      <c r="J34" s="74">
        <f>'Kh Oil U'!J34+'Rb Oil  U'!J34</f>
        <v>0</v>
      </c>
      <c r="K34" s="74">
        <f>'Kh Oil U'!K34+'Rb Oil  U'!K34</f>
        <v>0.015</v>
      </c>
      <c r="L34" s="94">
        <f>G34/B34*1000</f>
        <v>604.31654676259</v>
      </c>
      <c r="M34" s="94">
        <f t="shared" si="4"/>
        <v>666.6666666666665</v>
      </c>
      <c r="N34" s="94">
        <f t="shared" si="4"/>
        <v>571.4285714285714</v>
      </c>
      <c r="O34" s="94">
        <v>0</v>
      </c>
      <c r="P34" s="94">
        <f t="shared" si="4"/>
        <v>365.8536585365854</v>
      </c>
    </row>
    <row r="35" spans="1:16" ht="22.5" customHeight="1">
      <c r="A35" s="18" t="s">
        <v>55</v>
      </c>
      <c r="B35" s="74">
        <f>'Rb Oil  U'!B35</f>
        <v>6.8</v>
      </c>
      <c r="C35" s="74">
        <f>'Rb Oil  U'!C35</f>
        <v>0</v>
      </c>
      <c r="D35" s="74">
        <f>'Rb Oil  U'!D35</f>
        <v>0</v>
      </c>
      <c r="E35" s="74">
        <f>'Rb Oil  U'!E35</f>
        <v>3.685</v>
      </c>
      <c r="F35" s="74">
        <f>'Rb Oil  U'!F35</f>
        <v>3.628</v>
      </c>
      <c r="G35" s="74">
        <f>'Rb Oil  U'!G35</f>
        <v>8.6</v>
      </c>
      <c r="H35" s="74">
        <f>'Rb Oil  U'!H35</f>
        <v>0</v>
      </c>
      <c r="I35" s="74">
        <f>'Rb Oil  U'!I35</f>
        <v>0</v>
      </c>
      <c r="J35" s="74">
        <f>'Rb Oil  U'!J35</f>
        <v>4.643</v>
      </c>
      <c r="K35" s="74">
        <f>'Rb Oil  U'!K35</f>
        <v>4.527</v>
      </c>
      <c r="L35" s="94">
        <f>G35/B35*1000</f>
        <v>1264.7058823529412</v>
      </c>
      <c r="M35" s="94">
        <v>0</v>
      </c>
      <c r="N35" s="94">
        <v>0</v>
      </c>
      <c r="O35" s="94">
        <f aca="true" t="shared" si="5" ref="M35:O37">J35/E35*1000</f>
        <v>1259.9728629579374</v>
      </c>
      <c r="P35" s="94">
        <f t="shared" si="4"/>
        <v>1247.7949283351709</v>
      </c>
    </row>
    <row r="36" spans="1:16" ht="22.5" customHeight="1">
      <c r="A36" s="18" t="s">
        <v>127</v>
      </c>
      <c r="B36" s="74">
        <f>'Kh Oil U'!B35+'Rb Oil  U'!B36</f>
        <v>0.48</v>
      </c>
      <c r="C36" s="74">
        <f>'Kh Oil U'!C35+'Rb Oil  U'!C36</f>
        <v>0.54</v>
      </c>
      <c r="D36" s="74">
        <f>'Kh Oil U'!D35+'Rb Oil  U'!D36</f>
        <v>0.5</v>
      </c>
      <c r="E36" s="74">
        <f>'Kh Oil U'!E35+'Rb Oil  U'!E36</f>
        <v>0.42</v>
      </c>
      <c r="F36" s="74">
        <f>'Kh Oil U'!F35+'Rb Oil  U'!F36</f>
        <v>0.32899999999999996</v>
      </c>
      <c r="G36" s="74">
        <f>'Kh Oil U'!G35+'Rb Oil  U'!G36</f>
        <v>0.9069999999999999</v>
      </c>
      <c r="H36" s="74">
        <f>'Kh Oil U'!H35+'Rb Oil  U'!H36</f>
        <v>1.03</v>
      </c>
      <c r="I36" s="74">
        <f>'Kh Oil U'!I35+'Rb Oil  U'!I36</f>
        <v>1.1400000000000001</v>
      </c>
      <c r="J36" s="74">
        <f>'Kh Oil U'!J35+'Rb Oil  U'!J36</f>
        <v>0.985</v>
      </c>
      <c r="K36" s="74">
        <f>'Kh Oil U'!K35+'Rb Oil  U'!K36</f>
        <v>0.826</v>
      </c>
      <c r="L36" s="94">
        <f>G36/B36*1000</f>
        <v>1889.5833333333333</v>
      </c>
      <c r="M36" s="94">
        <f t="shared" si="5"/>
        <v>1907.4074074074074</v>
      </c>
      <c r="N36" s="94">
        <f t="shared" si="5"/>
        <v>2280.0000000000005</v>
      </c>
      <c r="O36" s="94">
        <f t="shared" si="5"/>
        <v>2345.2380952380954</v>
      </c>
      <c r="P36" s="94">
        <f t="shared" si="4"/>
        <v>2510.638297872341</v>
      </c>
    </row>
    <row r="37" spans="1:16" s="25" customFormat="1" ht="22.5" customHeight="1">
      <c r="A37" s="123" t="s">
        <v>45</v>
      </c>
      <c r="B37" s="75">
        <f>'Kh Oil U'!B36+'Rb Oil  U'!B37</f>
        <v>26484.399000000005</v>
      </c>
      <c r="C37" s="75">
        <f>'Kh Oil U'!C36+'Rb Oil  U'!C37</f>
        <v>28050.498000000003</v>
      </c>
      <c r="D37" s="75">
        <f>'Kh Oil U'!D36+'Rb Oil  U'!D37</f>
        <v>25596.242000000002</v>
      </c>
      <c r="E37" s="75">
        <f>'Kh Oil U'!E36+'Rb Oil  U'!E37</f>
        <v>26086.775300000005</v>
      </c>
      <c r="F37" s="75">
        <f>'Kh Oil U'!F36+'Rb Oil  U'!F37</f>
        <v>26177.121499999997</v>
      </c>
      <c r="G37" s="75">
        <f>'Kh Oil U'!G36+'Rb Oil  U'!G37</f>
        <v>30941.1915</v>
      </c>
      <c r="H37" s="75">
        <f>'Kh Oil U'!H36+'Rb Oil  U'!H37</f>
        <v>32749.384770454544</v>
      </c>
      <c r="I37" s="75">
        <f>'Kh Oil U'!I36+'Rb Oil  U'!I37</f>
        <v>27510.829999999994</v>
      </c>
      <c r="J37" s="75">
        <f>'Kh Oil U'!J36+'Rb Oil  U'!J37</f>
        <v>25250.775709</v>
      </c>
      <c r="K37" s="75">
        <f>'Kh Oil U'!K36+'Rb Oil  U'!K37</f>
        <v>31275.616209999993</v>
      </c>
      <c r="L37" s="136">
        <f>G37/B37*1000</f>
        <v>1168.2799183020916</v>
      </c>
      <c r="M37" s="136">
        <f t="shared" si="5"/>
        <v>1167.51527086808</v>
      </c>
      <c r="N37" s="136">
        <f t="shared" si="5"/>
        <v>1074.7995740937279</v>
      </c>
      <c r="O37" s="136">
        <f t="shared" si="5"/>
        <v>967.9531263873768</v>
      </c>
      <c r="P37" s="136">
        <f t="shared" si="4"/>
        <v>1194.7691120278446</v>
      </c>
    </row>
    <row r="38" ht="15">
      <c r="A38" s="58"/>
    </row>
    <row r="39" ht="18">
      <c r="A39" s="21"/>
    </row>
    <row r="40" spans="2:11" ht="15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5"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sheetProtection/>
  <mergeCells count="5">
    <mergeCell ref="B2:F2"/>
    <mergeCell ref="A2:A3"/>
    <mergeCell ref="L2:P2"/>
    <mergeCell ref="G2:K2"/>
    <mergeCell ref="A1:P1"/>
  </mergeCells>
  <printOptions horizontalCentered="1" verticalCentered="1"/>
  <pageMargins left="0.236220472440945" right="0.236220472440945" top="0.236220472440945" bottom="0" header="0.511811023622047" footer="0.511811023622047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P40"/>
  <sheetViews>
    <sheetView view="pageBreakPreview" zoomScale="55" zoomScaleSheetLayoutView="55" zoomScalePageLayoutView="0" workbookViewId="0" topLeftCell="A14">
      <selection activeCell="V38" sqref="V38"/>
    </sheetView>
  </sheetViews>
  <sheetFormatPr defaultColWidth="9.140625" defaultRowHeight="12.75"/>
  <cols>
    <col min="1" max="1" width="25.28125" style="33" customWidth="1"/>
    <col min="2" max="4" width="13.28125" style="33" customWidth="1"/>
    <col min="5" max="6" width="13.28125" style="46" customWidth="1"/>
    <col min="7" max="9" width="13.28125" style="33" customWidth="1"/>
    <col min="10" max="11" width="13.28125" style="46" customWidth="1"/>
    <col min="12" max="16" width="13.28125" style="33" customWidth="1"/>
    <col min="17" max="16384" width="9.140625" style="33" customWidth="1"/>
  </cols>
  <sheetData>
    <row r="1" spans="1:16" ht="36" customHeight="1">
      <c r="A1" s="222" t="s">
        <v>138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9.25" customHeight="1">
      <c r="A2" s="221" t="s">
        <v>105</v>
      </c>
      <c r="B2" s="178" t="s">
        <v>81</v>
      </c>
      <c r="C2" s="178"/>
      <c r="D2" s="178"/>
      <c r="E2" s="178"/>
      <c r="F2" s="178"/>
      <c r="G2" s="178" t="s">
        <v>82</v>
      </c>
      <c r="H2" s="178"/>
      <c r="I2" s="178"/>
      <c r="J2" s="178"/>
      <c r="K2" s="178"/>
      <c r="L2" s="178" t="s">
        <v>79</v>
      </c>
      <c r="M2" s="178"/>
      <c r="N2" s="178"/>
      <c r="O2" s="178"/>
      <c r="P2" s="178"/>
    </row>
    <row r="3" spans="1:16" s="36" customFormat="1" ht="30.75" customHeight="1">
      <c r="A3" s="221"/>
      <c r="B3" s="159" t="s">
        <v>112</v>
      </c>
      <c r="C3" s="159" t="s">
        <v>113</v>
      </c>
      <c r="D3" s="159" t="s">
        <v>115</v>
      </c>
      <c r="E3" s="159" t="s">
        <v>121</v>
      </c>
      <c r="F3" s="159" t="s">
        <v>122</v>
      </c>
      <c r="G3" s="159" t="s">
        <v>112</v>
      </c>
      <c r="H3" s="159" t="s">
        <v>113</v>
      </c>
      <c r="I3" s="159" t="s">
        <v>115</v>
      </c>
      <c r="J3" s="159" t="s">
        <v>121</v>
      </c>
      <c r="K3" s="159" t="s">
        <v>122</v>
      </c>
      <c r="L3" s="159" t="s">
        <v>112</v>
      </c>
      <c r="M3" s="159" t="s">
        <v>113</v>
      </c>
      <c r="N3" s="159" t="s">
        <v>115</v>
      </c>
      <c r="O3" s="159" t="s">
        <v>121</v>
      </c>
      <c r="P3" s="159" t="s">
        <v>122</v>
      </c>
    </row>
    <row r="4" spans="1:16" s="55" customFormat="1" ht="15" customHeight="1" hidden="1">
      <c r="A4" s="54">
        <v>1</v>
      </c>
      <c r="B4" s="38"/>
      <c r="C4" s="38"/>
      <c r="D4" s="38"/>
      <c r="E4" s="70"/>
      <c r="F4" s="70"/>
      <c r="G4" s="38"/>
      <c r="H4" s="38"/>
      <c r="I4" s="38"/>
      <c r="J4" s="70"/>
      <c r="K4" s="70"/>
      <c r="L4" s="54"/>
      <c r="M4" s="54"/>
      <c r="N4" s="54"/>
      <c r="O4" s="54"/>
      <c r="P4" s="54"/>
    </row>
    <row r="5" spans="1:16" ht="28.5" customHeight="1">
      <c r="A5" s="56" t="s">
        <v>1</v>
      </c>
      <c r="B5" s="89">
        <v>155</v>
      </c>
      <c r="C5" s="89">
        <v>152.96</v>
      </c>
      <c r="D5" s="89">
        <v>139</v>
      </c>
      <c r="E5" s="73">
        <v>122</v>
      </c>
      <c r="F5" s="73">
        <v>103</v>
      </c>
      <c r="G5" s="89">
        <v>11993</v>
      </c>
      <c r="H5" s="89">
        <v>12008.78</v>
      </c>
      <c r="I5" s="89">
        <v>9987</v>
      </c>
      <c r="J5" s="73">
        <v>9353</v>
      </c>
      <c r="K5" s="73">
        <v>7830</v>
      </c>
      <c r="L5" s="99">
        <f aca="true" t="shared" si="0" ref="L5:L13">G5/B5*1000</f>
        <v>77374.19354838709</v>
      </c>
      <c r="M5" s="99">
        <f aca="true" t="shared" si="1" ref="M5:M13">H5/C5*1000</f>
        <v>78509.28347280335</v>
      </c>
      <c r="N5" s="99">
        <f aca="true" t="shared" si="2" ref="N5:N13">I5/D5*1000</f>
        <v>71848.92086330935</v>
      </c>
      <c r="O5" s="99">
        <f aca="true" t="shared" si="3" ref="O5:P20">J5/E5*1000</f>
        <v>76663.9344262295</v>
      </c>
      <c r="P5" s="99">
        <f t="shared" si="3"/>
        <v>76019.41747572816</v>
      </c>
    </row>
    <row r="6" spans="1:16" ht="28.5" customHeight="1">
      <c r="A6" s="56" t="s">
        <v>33</v>
      </c>
      <c r="B6" s="89">
        <v>1.53</v>
      </c>
      <c r="C6" s="89">
        <v>1.56</v>
      </c>
      <c r="D6" s="89">
        <v>1.52</v>
      </c>
      <c r="E6" s="73">
        <v>1.95</v>
      </c>
      <c r="F6" s="73">
        <v>1.764</v>
      </c>
      <c r="G6" s="89">
        <v>30.151</v>
      </c>
      <c r="H6" s="89">
        <v>30.35</v>
      </c>
      <c r="I6" s="89">
        <v>29.67</v>
      </c>
      <c r="J6" s="73">
        <v>40.755</v>
      </c>
      <c r="K6" s="73">
        <v>37.744</v>
      </c>
      <c r="L6" s="99">
        <f t="shared" si="0"/>
        <v>19706.53594771242</v>
      </c>
      <c r="M6" s="99">
        <f t="shared" si="1"/>
        <v>19455.128205128203</v>
      </c>
      <c r="N6" s="99">
        <f t="shared" si="2"/>
        <v>19519.736842105263</v>
      </c>
      <c r="O6" s="99">
        <f t="shared" si="3"/>
        <v>20900.000000000004</v>
      </c>
      <c r="P6" s="99">
        <f t="shared" si="3"/>
        <v>21396.825396825396</v>
      </c>
    </row>
    <row r="7" spans="1:16" ht="28.5" customHeight="1">
      <c r="A7" s="56" t="s">
        <v>29</v>
      </c>
      <c r="B7" s="89">
        <v>28.87</v>
      </c>
      <c r="C7" s="89">
        <v>29.08</v>
      </c>
      <c r="D7" s="89">
        <v>29.9</v>
      </c>
      <c r="E7" s="73">
        <v>29.46</v>
      </c>
      <c r="F7" s="73">
        <v>31.383</v>
      </c>
      <c r="G7" s="89">
        <v>1028.16</v>
      </c>
      <c r="H7" s="89">
        <v>1075.17</v>
      </c>
      <c r="I7" s="89">
        <v>1099.13</v>
      </c>
      <c r="J7" s="73">
        <v>1038.329</v>
      </c>
      <c r="K7" s="73">
        <v>1207.167</v>
      </c>
      <c r="L7" s="99">
        <f t="shared" si="0"/>
        <v>35613.43955663318</v>
      </c>
      <c r="M7" s="99">
        <f t="shared" si="1"/>
        <v>36972.833562585976</v>
      </c>
      <c r="N7" s="99">
        <f t="shared" si="2"/>
        <v>36760.20066889632</v>
      </c>
      <c r="O7" s="99">
        <f t="shared" si="3"/>
        <v>35245.38357094365</v>
      </c>
      <c r="P7" s="99">
        <f t="shared" si="3"/>
        <v>38465.634260586936</v>
      </c>
    </row>
    <row r="8" spans="1:16" ht="28.5" customHeight="1">
      <c r="A8" s="56" t="s">
        <v>41</v>
      </c>
      <c r="B8" s="89">
        <v>250.34</v>
      </c>
      <c r="C8" s="89">
        <v>258.07</v>
      </c>
      <c r="D8" s="89">
        <v>254.34</v>
      </c>
      <c r="E8" s="73">
        <v>244.021</v>
      </c>
      <c r="F8" s="73">
        <v>239.567</v>
      </c>
      <c r="G8" s="89">
        <v>12741.42</v>
      </c>
      <c r="H8" s="89">
        <v>12881.78</v>
      </c>
      <c r="I8" s="89">
        <v>14034.12</v>
      </c>
      <c r="J8" s="73">
        <v>12649.316577</v>
      </c>
      <c r="K8" s="73">
        <v>13036.003</v>
      </c>
      <c r="L8" s="99">
        <f t="shared" si="0"/>
        <v>50896.46081329392</v>
      </c>
      <c r="M8" s="99">
        <f t="shared" si="1"/>
        <v>49915.836788468245</v>
      </c>
      <c r="N8" s="99">
        <f t="shared" si="2"/>
        <v>55178.579853739095</v>
      </c>
      <c r="O8" s="99">
        <f t="shared" si="3"/>
        <v>51837</v>
      </c>
      <c r="P8" s="99">
        <f t="shared" si="3"/>
        <v>54414.85262995321</v>
      </c>
    </row>
    <row r="9" spans="1:16" ht="28.5" customHeight="1">
      <c r="A9" s="56" t="s">
        <v>106</v>
      </c>
      <c r="B9" s="89">
        <v>13.5</v>
      </c>
      <c r="C9" s="89">
        <v>8.5</v>
      </c>
      <c r="D9" s="89">
        <v>18.5</v>
      </c>
      <c r="E9" s="73">
        <v>35.5</v>
      </c>
      <c r="F9" s="73">
        <v>20.8</v>
      </c>
      <c r="G9" s="89">
        <v>37.3</v>
      </c>
      <c r="H9" s="89">
        <v>22.1</v>
      </c>
      <c r="I9" s="89">
        <v>49.3</v>
      </c>
      <c r="J9" s="73">
        <v>67.8</v>
      </c>
      <c r="K9" s="73">
        <v>848</v>
      </c>
      <c r="L9" s="99">
        <f t="shared" si="0"/>
        <v>2762.9629629629626</v>
      </c>
      <c r="M9" s="99">
        <f t="shared" si="1"/>
        <v>2600</v>
      </c>
      <c r="N9" s="99">
        <f t="shared" si="2"/>
        <v>2664.8648648648646</v>
      </c>
      <c r="O9" s="99">
        <f t="shared" si="3"/>
        <v>1909.8591549295775</v>
      </c>
      <c r="P9" s="99">
        <f t="shared" si="3"/>
        <v>40769.230769230766</v>
      </c>
    </row>
    <row r="10" spans="1:16" ht="28.5" customHeight="1">
      <c r="A10" s="56" t="s">
        <v>8</v>
      </c>
      <c r="B10" s="89">
        <v>176</v>
      </c>
      <c r="C10" s="89">
        <v>174</v>
      </c>
      <c r="D10" s="89">
        <v>208</v>
      </c>
      <c r="E10" s="73">
        <v>157</v>
      </c>
      <c r="F10" s="73">
        <v>0.897</v>
      </c>
      <c r="G10" s="89">
        <v>12690</v>
      </c>
      <c r="H10" s="89">
        <v>12550</v>
      </c>
      <c r="I10" s="89">
        <v>14330</v>
      </c>
      <c r="J10" s="73">
        <f>1112*10</f>
        <v>11120</v>
      </c>
      <c r="K10" s="73">
        <v>40.222</v>
      </c>
      <c r="L10" s="99">
        <f t="shared" si="0"/>
        <v>72102.27272727274</v>
      </c>
      <c r="M10" s="99">
        <f t="shared" si="1"/>
        <v>72126.4367816092</v>
      </c>
      <c r="N10" s="99">
        <f t="shared" si="2"/>
        <v>68894.23076923078</v>
      </c>
      <c r="O10" s="99">
        <f t="shared" si="3"/>
        <v>70828.02547770701</v>
      </c>
      <c r="P10" s="99">
        <f t="shared" si="3"/>
        <v>44840.57971014493</v>
      </c>
    </row>
    <row r="11" spans="1:16" ht="28.5" customHeight="1">
      <c r="A11" s="56" t="s">
        <v>7</v>
      </c>
      <c r="B11" s="89">
        <v>0.854</v>
      </c>
      <c r="C11" s="89">
        <v>0.87</v>
      </c>
      <c r="D11" s="89">
        <v>0.81</v>
      </c>
      <c r="E11" s="89">
        <v>0</v>
      </c>
      <c r="F11" s="89">
        <v>169</v>
      </c>
      <c r="G11" s="89">
        <v>46.006</v>
      </c>
      <c r="H11" s="89">
        <v>47.67</v>
      </c>
      <c r="I11" s="89">
        <v>49.22</v>
      </c>
      <c r="J11" s="89">
        <v>0</v>
      </c>
      <c r="K11" s="89">
        <v>11950</v>
      </c>
      <c r="L11" s="99">
        <f t="shared" si="0"/>
        <v>53871.1943793911</v>
      </c>
      <c r="M11" s="99">
        <f t="shared" si="1"/>
        <v>54793.10344827586</v>
      </c>
      <c r="N11" s="99">
        <f t="shared" si="2"/>
        <v>60765.43209876543</v>
      </c>
      <c r="O11" s="99">
        <v>0</v>
      </c>
      <c r="P11" s="99">
        <f t="shared" si="3"/>
        <v>70710.05917159763</v>
      </c>
    </row>
    <row r="12" spans="1:16" ht="28.5" customHeight="1">
      <c r="A12" s="56" t="s">
        <v>35</v>
      </c>
      <c r="B12" s="89">
        <v>101</v>
      </c>
      <c r="C12" s="89">
        <v>102</v>
      </c>
      <c r="D12" s="89">
        <v>97</v>
      </c>
      <c r="E12" s="73">
        <v>93</v>
      </c>
      <c r="F12" s="73">
        <v>102</v>
      </c>
      <c r="G12" s="89">
        <v>7437</v>
      </c>
      <c r="H12" s="89">
        <v>7499</v>
      </c>
      <c r="I12" s="89">
        <v>7169</v>
      </c>
      <c r="J12" s="73">
        <v>6692</v>
      </c>
      <c r="K12" s="73">
        <v>8223</v>
      </c>
      <c r="L12" s="99">
        <f t="shared" si="0"/>
        <v>73633.66336633664</v>
      </c>
      <c r="M12" s="99">
        <f t="shared" si="1"/>
        <v>73519.60784313724</v>
      </c>
      <c r="N12" s="99">
        <f t="shared" si="2"/>
        <v>73907.21649484536</v>
      </c>
      <c r="O12" s="99">
        <f t="shared" si="3"/>
        <v>71956.98924731182</v>
      </c>
      <c r="P12" s="99">
        <f t="shared" si="3"/>
        <v>80617.64705882354</v>
      </c>
    </row>
    <row r="13" spans="1:16" ht="28.5" customHeight="1">
      <c r="A13" s="56" t="s">
        <v>10</v>
      </c>
      <c r="B13" s="89">
        <v>1.88</v>
      </c>
      <c r="C13" s="89">
        <v>1.54</v>
      </c>
      <c r="D13" s="89">
        <v>1.63</v>
      </c>
      <c r="E13" s="86">
        <v>1.939</v>
      </c>
      <c r="F13" s="86">
        <v>1.73</v>
      </c>
      <c r="G13" s="89">
        <v>42.01</v>
      </c>
      <c r="H13" s="89">
        <v>35.69</v>
      </c>
      <c r="I13" s="89">
        <v>37.57</v>
      </c>
      <c r="J13" s="86">
        <v>38.723</v>
      </c>
      <c r="K13" s="86">
        <v>21.054</v>
      </c>
      <c r="L13" s="99">
        <f t="shared" si="0"/>
        <v>22345.74468085106</v>
      </c>
      <c r="M13" s="99">
        <f t="shared" si="1"/>
        <v>23175.324675324675</v>
      </c>
      <c r="N13" s="99">
        <f t="shared" si="2"/>
        <v>23049.07975460123</v>
      </c>
      <c r="O13" s="99">
        <f t="shared" si="3"/>
        <v>19970.603403816396</v>
      </c>
      <c r="P13" s="99">
        <f t="shared" si="3"/>
        <v>12169.94219653179</v>
      </c>
    </row>
    <row r="14" spans="1:16" ht="28.5" customHeight="1">
      <c r="A14" s="56" t="s">
        <v>36</v>
      </c>
      <c r="B14" s="89"/>
      <c r="C14" s="89">
        <v>0.02</v>
      </c>
      <c r="D14" s="89">
        <v>1.31</v>
      </c>
      <c r="E14" s="73">
        <v>0.193</v>
      </c>
      <c r="F14" s="74">
        <v>0</v>
      </c>
      <c r="G14" s="74">
        <v>0</v>
      </c>
      <c r="H14" s="89">
        <v>0.02</v>
      </c>
      <c r="I14" s="89">
        <v>1.96</v>
      </c>
      <c r="J14" s="73">
        <v>0.2895</v>
      </c>
      <c r="K14" s="74">
        <v>0</v>
      </c>
      <c r="L14" s="74">
        <v>0</v>
      </c>
      <c r="M14" s="99">
        <f aca="true" t="shared" si="4" ref="M14:M28">H14/C14*1000</f>
        <v>1000</v>
      </c>
      <c r="N14" s="99">
        <f aca="true" t="shared" si="5" ref="N14:N29">I14/D14*1000</f>
        <v>1496.18320610687</v>
      </c>
      <c r="O14" s="99">
        <f aca="true" t="shared" si="6" ref="O14:P29">J14/E14*1000</f>
        <v>1499.9999999999998</v>
      </c>
      <c r="P14" s="99">
        <v>0</v>
      </c>
    </row>
    <row r="15" spans="1:16" ht="28.5" customHeight="1">
      <c r="A15" s="56" t="s">
        <v>31</v>
      </c>
      <c r="B15" s="89">
        <v>6.69</v>
      </c>
      <c r="C15" s="89">
        <v>6.687</v>
      </c>
      <c r="D15" s="89">
        <v>6.76</v>
      </c>
      <c r="E15" s="73">
        <v>10.2</v>
      </c>
      <c r="F15" s="73">
        <v>7.4</v>
      </c>
      <c r="G15" s="89">
        <v>461.89</v>
      </c>
      <c r="H15" s="89">
        <v>462.84</v>
      </c>
      <c r="I15" s="89">
        <v>469.82</v>
      </c>
      <c r="J15" s="73">
        <v>708.9</v>
      </c>
      <c r="K15" s="73">
        <v>512.931</v>
      </c>
      <c r="L15" s="99">
        <f aca="true" t="shared" si="7" ref="L15:L32">G15/B15*1000</f>
        <v>69041.85351270554</v>
      </c>
      <c r="M15" s="99">
        <f t="shared" si="4"/>
        <v>69214.89457155674</v>
      </c>
      <c r="N15" s="99">
        <f t="shared" si="5"/>
        <v>69500</v>
      </c>
      <c r="O15" s="99">
        <f t="shared" si="6"/>
        <v>69500</v>
      </c>
      <c r="P15" s="99">
        <f t="shared" si="3"/>
        <v>69315</v>
      </c>
    </row>
    <row r="16" spans="1:16" ht="28.5" customHeight="1">
      <c r="A16" s="56" t="s">
        <v>11</v>
      </c>
      <c r="B16" s="89">
        <v>425</v>
      </c>
      <c r="C16" s="89">
        <v>420</v>
      </c>
      <c r="D16" s="89">
        <v>480</v>
      </c>
      <c r="E16" s="73">
        <v>450</v>
      </c>
      <c r="F16" s="73">
        <v>397</v>
      </c>
      <c r="G16" s="89">
        <v>35732</v>
      </c>
      <c r="H16" s="89">
        <v>37905</v>
      </c>
      <c r="I16" s="89">
        <v>43776</v>
      </c>
      <c r="J16" s="73">
        <v>37833.75</v>
      </c>
      <c r="K16" s="73">
        <v>27378</v>
      </c>
      <c r="L16" s="99">
        <f t="shared" si="7"/>
        <v>84075.29411764706</v>
      </c>
      <c r="M16" s="99">
        <f t="shared" si="4"/>
        <v>90250</v>
      </c>
      <c r="N16" s="99">
        <f t="shared" si="5"/>
        <v>91200</v>
      </c>
      <c r="O16" s="99">
        <f t="shared" si="6"/>
        <v>84075</v>
      </c>
      <c r="P16" s="99">
        <f t="shared" si="3"/>
        <v>68962.21662468514</v>
      </c>
    </row>
    <row r="17" spans="1:16" ht="28.5" customHeight="1">
      <c r="A17" s="56" t="s">
        <v>12</v>
      </c>
      <c r="B17" s="89">
        <v>1.74</v>
      </c>
      <c r="C17" s="89">
        <v>2.21</v>
      </c>
      <c r="D17" s="89">
        <v>1.52</v>
      </c>
      <c r="E17" s="73">
        <v>1.362</v>
      </c>
      <c r="F17" s="73">
        <v>1.063</v>
      </c>
      <c r="G17" s="89">
        <v>165.72</v>
      </c>
      <c r="H17" s="89">
        <v>221.52</v>
      </c>
      <c r="I17" s="89">
        <v>148.53</v>
      </c>
      <c r="J17" s="73">
        <f>13.813*10</f>
        <v>138.13</v>
      </c>
      <c r="K17" s="73">
        <v>113.13</v>
      </c>
      <c r="L17" s="99">
        <f t="shared" si="7"/>
        <v>95241.37931034483</v>
      </c>
      <c r="M17" s="99">
        <f t="shared" si="4"/>
        <v>100235.29411764706</v>
      </c>
      <c r="N17" s="99">
        <f t="shared" si="5"/>
        <v>97717.1052631579</v>
      </c>
      <c r="O17" s="99">
        <f t="shared" si="6"/>
        <v>101417.03377386196</v>
      </c>
      <c r="P17" s="99">
        <f t="shared" si="3"/>
        <v>106425.21166509877</v>
      </c>
    </row>
    <row r="18" spans="1:16" ht="28.5" customHeight="1">
      <c r="A18" s="56" t="s">
        <v>13</v>
      </c>
      <c r="B18" s="89">
        <v>59.5</v>
      </c>
      <c r="C18" s="89">
        <v>73.1</v>
      </c>
      <c r="D18" s="89">
        <v>111</v>
      </c>
      <c r="E18" s="73">
        <v>103</v>
      </c>
      <c r="F18" s="73">
        <v>92</v>
      </c>
      <c r="G18" s="89">
        <v>2641.8803249999996</v>
      </c>
      <c r="H18" s="89">
        <v>3173.66574</v>
      </c>
      <c r="I18" s="89">
        <v>4567</v>
      </c>
      <c r="J18" s="73">
        <v>5281</v>
      </c>
      <c r="K18" s="73">
        <v>4730</v>
      </c>
      <c r="L18" s="99">
        <f t="shared" si="7"/>
        <v>44401.34999999999</v>
      </c>
      <c r="M18" s="99">
        <f t="shared" si="4"/>
        <v>43415.40000000001</v>
      </c>
      <c r="N18" s="99">
        <f t="shared" si="5"/>
        <v>41144.14414414414</v>
      </c>
      <c r="O18" s="99">
        <f t="shared" si="6"/>
        <v>51271.844660194176</v>
      </c>
      <c r="P18" s="99">
        <f t="shared" si="3"/>
        <v>51413.043478260865</v>
      </c>
    </row>
    <row r="19" spans="1:16" ht="28.5" customHeight="1">
      <c r="A19" s="56" t="s">
        <v>14</v>
      </c>
      <c r="B19" s="89">
        <v>933</v>
      </c>
      <c r="C19" s="89">
        <v>937</v>
      </c>
      <c r="D19" s="89">
        <v>1030</v>
      </c>
      <c r="E19" s="73">
        <v>987</v>
      </c>
      <c r="F19" s="73">
        <v>633.3</v>
      </c>
      <c r="G19" s="89">
        <v>69648.07680000001</v>
      </c>
      <c r="H19" s="89">
        <v>76901</v>
      </c>
      <c r="I19" s="89">
        <v>84698.96</v>
      </c>
      <c r="J19" s="73">
        <v>73679.55</v>
      </c>
      <c r="K19" s="73">
        <v>52262.44650000005</v>
      </c>
      <c r="L19" s="99">
        <f t="shared" si="7"/>
        <v>74649.6</v>
      </c>
      <c r="M19" s="99">
        <f t="shared" si="4"/>
        <v>82071.50480256137</v>
      </c>
      <c r="N19" s="99">
        <f t="shared" si="5"/>
        <v>82232</v>
      </c>
      <c r="O19" s="99">
        <f t="shared" si="6"/>
        <v>74650</v>
      </c>
      <c r="P19" s="99">
        <f t="shared" si="3"/>
        <v>82523.99573661781</v>
      </c>
    </row>
    <row r="20" spans="1:16" ht="28.5" customHeight="1">
      <c r="A20" s="56" t="s">
        <v>37</v>
      </c>
      <c r="B20" s="89">
        <v>5.5</v>
      </c>
      <c r="C20" s="89">
        <v>5.85</v>
      </c>
      <c r="D20" s="89">
        <v>5.85</v>
      </c>
      <c r="E20" s="73">
        <v>6</v>
      </c>
      <c r="F20" s="73">
        <v>6</v>
      </c>
      <c r="G20" s="89">
        <v>311.69</v>
      </c>
      <c r="H20" s="89">
        <v>339.31</v>
      </c>
      <c r="I20" s="89">
        <v>339.31</v>
      </c>
      <c r="J20" s="73">
        <v>348</v>
      </c>
      <c r="K20" s="73">
        <v>348</v>
      </c>
      <c r="L20" s="99">
        <f t="shared" si="7"/>
        <v>56670.90909090909</v>
      </c>
      <c r="M20" s="99">
        <f t="shared" si="4"/>
        <v>58001.709401709406</v>
      </c>
      <c r="N20" s="99">
        <f t="shared" si="5"/>
        <v>58001.709401709406</v>
      </c>
      <c r="O20" s="99">
        <f t="shared" si="6"/>
        <v>58000</v>
      </c>
      <c r="P20" s="99">
        <f t="shared" si="3"/>
        <v>58000</v>
      </c>
    </row>
    <row r="21" spans="1:16" ht="28.5" customHeight="1">
      <c r="A21" s="56" t="s">
        <v>107</v>
      </c>
      <c r="B21" s="89">
        <v>0.071</v>
      </c>
      <c r="C21" s="89">
        <v>0.1</v>
      </c>
      <c r="D21" s="89">
        <v>0.11</v>
      </c>
      <c r="E21" s="73">
        <v>0.117</v>
      </c>
      <c r="F21" s="73">
        <v>0.12</v>
      </c>
      <c r="G21" s="89">
        <v>0.19</v>
      </c>
      <c r="H21" s="89">
        <v>0.29</v>
      </c>
      <c r="I21" s="89">
        <v>0.34</v>
      </c>
      <c r="J21" s="73">
        <v>0.356</v>
      </c>
      <c r="K21" s="73">
        <v>0.36</v>
      </c>
      <c r="L21" s="99">
        <f t="shared" si="7"/>
        <v>2676.0563380281696</v>
      </c>
      <c r="M21" s="99">
        <f t="shared" si="4"/>
        <v>2899.9999999999995</v>
      </c>
      <c r="N21" s="99">
        <f t="shared" si="5"/>
        <v>3090.9090909090914</v>
      </c>
      <c r="O21" s="99">
        <f t="shared" si="6"/>
        <v>3042.7350427350425</v>
      </c>
      <c r="P21" s="99">
        <f t="shared" si="6"/>
        <v>3000</v>
      </c>
    </row>
    <row r="22" spans="1:16" ht="28.5" customHeight="1">
      <c r="A22" s="56" t="s">
        <v>108</v>
      </c>
      <c r="B22" s="89">
        <v>1.32</v>
      </c>
      <c r="C22" s="89">
        <v>1.42</v>
      </c>
      <c r="D22" s="89">
        <v>1.47</v>
      </c>
      <c r="E22" s="73">
        <v>1.542</v>
      </c>
      <c r="F22" s="73">
        <v>1.588</v>
      </c>
      <c r="G22" s="89">
        <v>6.79</v>
      </c>
      <c r="H22" s="89">
        <v>6.97</v>
      </c>
      <c r="I22" s="89">
        <v>44.25</v>
      </c>
      <c r="J22" s="73">
        <v>51.27</v>
      </c>
      <c r="K22" s="73">
        <v>50.5328</v>
      </c>
      <c r="L22" s="99">
        <f t="shared" si="7"/>
        <v>5143.939393939394</v>
      </c>
      <c r="M22" s="99">
        <f t="shared" si="4"/>
        <v>4908.450704225352</v>
      </c>
      <c r="N22" s="99">
        <f t="shared" si="5"/>
        <v>30102.04081632653</v>
      </c>
      <c r="O22" s="99">
        <f t="shared" si="6"/>
        <v>33249.02723735409</v>
      </c>
      <c r="P22" s="99">
        <f t="shared" si="6"/>
        <v>31821.662468513852</v>
      </c>
    </row>
    <row r="23" spans="1:16" ht="28.5" customHeight="1">
      <c r="A23" s="56" t="s">
        <v>15</v>
      </c>
      <c r="B23" s="89">
        <v>4.31</v>
      </c>
      <c r="C23" s="89">
        <v>4.33</v>
      </c>
      <c r="D23" s="89">
        <v>4.35</v>
      </c>
      <c r="E23" s="73">
        <v>4.37</v>
      </c>
      <c r="F23" s="73">
        <v>4.42</v>
      </c>
      <c r="G23" s="89">
        <v>187.57</v>
      </c>
      <c r="H23" s="89">
        <v>188.46</v>
      </c>
      <c r="I23" s="89">
        <v>189.33</v>
      </c>
      <c r="J23" s="73">
        <v>190.2</v>
      </c>
      <c r="K23" s="73">
        <v>192.39</v>
      </c>
      <c r="L23" s="99">
        <f t="shared" si="7"/>
        <v>43519.721577726224</v>
      </c>
      <c r="M23" s="99">
        <f t="shared" si="4"/>
        <v>43524.24942263279</v>
      </c>
      <c r="N23" s="99">
        <f t="shared" si="5"/>
        <v>43524.137931034486</v>
      </c>
      <c r="O23" s="99">
        <f t="shared" si="6"/>
        <v>43524.02745995423</v>
      </c>
      <c r="P23" s="99">
        <f t="shared" si="6"/>
        <v>43527.14932126697</v>
      </c>
    </row>
    <row r="24" spans="1:16" ht="28.5" customHeight="1">
      <c r="A24" s="56" t="s">
        <v>111</v>
      </c>
      <c r="B24" s="89">
        <v>14.53</v>
      </c>
      <c r="C24" s="89">
        <v>14.21</v>
      </c>
      <c r="D24" s="89">
        <v>10.05</v>
      </c>
      <c r="E24" s="73">
        <v>8.96</v>
      </c>
      <c r="F24" s="73">
        <v>5.49</v>
      </c>
      <c r="G24" s="89">
        <v>952.37</v>
      </c>
      <c r="H24" s="89">
        <v>936.51</v>
      </c>
      <c r="I24" s="89">
        <v>722.89</v>
      </c>
      <c r="J24" s="73">
        <v>577.16</v>
      </c>
      <c r="K24" s="73">
        <v>344.3</v>
      </c>
      <c r="L24" s="99">
        <f t="shared" si="7"/>
        <v>65545.07914659326</v>
      </c>
      <c r="M24" s="99">
        <f t="shared" si="4"/>
        <v>65904.99648135116</v>
      </c>
      <c r="N24" s="99">
        <f t="shared" si="5"/>
        <v>71929.35323383084</v>
      </c>
      <c r="O24" s="99">
        <f t="shared" si="6"/>
        <v>64415.17857142856</v>
      </c>
      <c r="P24" s="99">
        <f t="shared" si="6"/>
        <v>62714.02550091074</v>
      </c>
    </row>
    <row r="25" spans="1:16" ht="28.5" customHeight="1">
      <c r="A25" s="56" t="s">
        <v>17</v>
      </c>
      <c r="B25" s="89">
        <v>83</v>
      </c>
      <c r="C25" s="89">
        <v>89</v>
      </c>
      <c r="D25" s="89">
        <v>94</v>
      </c>
      <c r="E25" s="73">
        <v>90</v>
      </c>
      <c r="F25" s="73">
        <v>88</v>
      </c>
      <c r="G25" s="89">
        <v>5919</v>
      </c>
      <c r="H25" s="89">
        <v>6675</v>
      </c>
      <c r="I25" s="89">
        <v>7039</v>
      </c>
      <c r="J25" s="73">
        <v>6607</v>
      </c>
      <c r="K25" s="73">
        <v>7152</v>
      </c>
      <c r="L25" s="99">
        <f t="shared" si="7"/>
        <v>71313.2530120482</v>
      </c>
      <c r="M25" s="99">
        <f t="shared" si="4"/>
        <v>75000</v>
      </c>
      <c r="N25" s="99">
        <f t="shared" si="5"/>
        <v>74882.97872340425</v>
      </c>
      <c r="O25" s="99">
        <f t="shared" si="6"/>
        <v>73411.11111111111</v>
      </c>
      <c r="P25" s="99">
        <f t="shared" si="6"/>
        <v>81272.72727272726</v>
      </c>
    </row>
    <row r="26" spans="1:16" ht="28.5" customHeight="1">
      <c r="A26" s="56" t="s">
        <v>18</v>
      </c>
      <c r="B26" s="89">
        <v>5.5</v>
      </c>
      <c r="C26" s="89">
        <v>5.26</v>
      </c>
      <c r="D26" s="89">
        <v>5.57</v>
      </c>
      <c r="E26" s="73">
        <v>6.141</v>
      </c>
      <c r="F26" s="73">
        <v>6.854</v>
      </c>
      <c r="G26" s="89">
        <v>401.81</v>
      </c>
      <c r="H26" s="89">
        <v>362.88</v>
      </c>
      <c r="I26" s="89">
        <v>408.86</v>
      </c>
      <c r="J26" s="73">
        <v>531.267</v>
      </c>
      <c r="K26" s="73">
        <v>488.652</v>
      </c>
      <c r="L26" s="99">
        <f t="shared" si="7"/>
        <v>73056.36363636365</v>
      </c>
      <c r="M26" s="99">
        <f t="shared" si="4"/>
        <v>68988.59315589354</v>
      </c>
      <c r="N26" s="99">
        <f t="shared" si="5"/>
        <v>73403.94973070017</v>
      </c>
      <c r="O26" s="99">
        <f t="shared" si="6"/>
        <v>86511.48021494872</v>
      </c>
      <c r="P26" s="99">
        <f t="shared" si="6"/>
        <v>71294.42661219726</v>
      </c>
    </row>
    <row r="27" spans="1:16" ht="28.5" customHeight="1">
      <c r="A27" s="56" t="s">
        <v>19</v>
      </c>
      <c r="B27" s="89">
        <v>347.22</v>
      </c>
      <c r="C27" s="89">
        <v>313.34</v>
      </c>
      <c r="D27" s="89">
        <v>263.07</v>
      </c>
      <c r="E27" s="86">
        <v>252.27</v>
      </c>
      <c r="F27" s="86">
        <v>218.26</v>
      </c>
      <c r="G27" s="89">
        <v>33919.17</v>
      </c>
      <c r="H27" s="89">
        <v>32454.14</v>
      </c>
      <c r="I27" s="89">
        <v>28092.78</v>
      </c>
      <c r="J27" s="86">
        <v>25494.09</v>
      </c>
      <c r="K27" s="86">
        <v>18987.56</v>
      </c>
      <c r="L27" s="99">
        <f t="shared" si="7"/>
        <v>97687.83480214272</v>
      </c>
      <c r="M27" s="99">
        <f t="shared" si="4"/>
        <v>103574.83883321632</v>
      </c>
      <c r="N27" s="99">
        <f t="shared" si="5"/>
        <v>106788.23126924393</v>
      </c>
      <c r="O27" s="99">
        <f t="shared" si="6"/>
        <v>101058.74658104412</v>
      </c>
      <c r="P27" s="99">
        <f t="shared" si="6"/>
        <v>86995.14340694586</v>
      </c>
    </row>
    <row r="28" spans="1:16" ht="28.5" customHeight="1">
      <c r="A28" s="56" t="s">
        <v>116</v>
      </c>
      <c r="B28" s="89">
        <v>41</v>
      </c>
      <c r="C28" s="89">
        <v>39.04</v>
      </c>
      <c r="D28" s="89">
        <v>38</v>
      </c>
      <c r="E28" s="73">
        <v>35</v>
      </c>
      <c r="F28" s="73">
        <v>29</v>
      </c>
      <c r="G28" s="89">
        <v>3574</v>
      </c>
      <c r="H28" s="89">
        <v>3376.22</v>
      </c>
      <c r="I28" s="89">
        <v>3343</v>
      </c>
      <c r="J28" s="73">
        <v>2405</v>
      </c>
      <c r="K28" s="73">
        <v>2061</v>
      </c>
      <c r="L28" s="99">
        <f t="shared" si="7"/>
        <v>87170.73170731707</v>
      </c>
      <c r="M28" s="99">
        <f t="shared" si="4"/>
        <v>86481.04508196721</v>
      </c>
      <c r="N28" s="99">
        <f t="shared" si="5"/>
        <v>87973.68421052632</v>
      </c>
      <c r="O28" s="99">
        <f t="shared" si="6"/>
        <v>68714.28571428571</v>
      </c>
      <c r="P28" s="99">
        <f t="shared" si="6"/>
        <v>71068.96551724138</v>
      </c>
    </row>
    <row r="29" spans="1:16" ht="28.5" customHeight="1">
      <c r="A29" s="56" t="s">
        <v>109</v>
      </c>
      <c r="B29" s="89">
        <v>0.899</v>
      </c>
      <c r="C29" s="89">
        <v>0.96</v>
      </c>
      <c r="D29" s="89">
        <v>0</v>
      </c>
      <c r="E29" s="73">
        <v>0.793</v>
      </c>
      <c r="F29" s="73">
        <v>0.822</v>
      </c>
      <c r="G29" s="89">
        <v>45.436</v>
      </c>
      <c r="H29" s="89">
        <v>49.6</v>
      </c>
      <c r="I29" s="89">
        <v>0</v>
      </c>
      <c r="J29" s="73">
        <v>40.492</v>
      </c>
      <c r="K29" s="73">
        <v>44.1</v>
      </c>
      <c r="L29" s="99">
        <f t="shared" si="7"/>
        <v>50540.60066740823</v>
      </c>
      <c r="M29" s="99">
        <f aca="true" t="shared" si="8" ref="M29:M36">H29/C29*1000</f>
        <v>51666.66666666667</v>
      </c>
      <c r="N29" s="99">
        <v>0</v>
      </c>
      <c r="O29" s="99">
        <f aca="true" t="shared" si="9" ref="O29:P36">J29/E29*1000</f>
        <v>51061.79066834804</v>
      </c>
      <c r="P29" s="99">
        <f t="shared" si="6"/>
        <v>53649.63503649636</v>
      </c>
    </row>
    <row r="30" spans="1:16" ht="28.5" customHeight="1">
      <c r="A30" s="56" t="s">
        <v>22</v>
      </c>
      <c r="B30" s="89">
        <v>2212</v>
      </c>
      <c r="C30" s="89">
        <v>2228</v>
      </c>
      <c r="D30" s="89">
        <v>2140.8</v>
      </c>
      <c r="E30" s="73">
        <v>2169</v>
      </c>
      <c r="F30" s="73">
        <v>2160</v>
      </c>
      <c r="G30" s="89">
        <v>132427.68420000002</v>
      </c>
      <c r="H30" s="89">
        <v>134688.61560000002</v>
      </c>
      <c r="I30" s="89">
        <v>133061.42</v>
      </c>
      <c r="J30" s="73">
        <v>145385</v>
      </c>
      <c r="K30" s="73">
        <v>140169.204</v>
      </c>
      <c r="L30" s="99">
        <f t="shared" si="7"/>
        <v>59867.85000000001</v>
      </c>
      <c r="M30" s="99">
        <f t="shared" si="8"/>
        <v>60452.700000000004</v>
      </c>
      <c r="N30" s="99">
        <f aca="true" t="shared" si="10" ref="N30:N36">I30/D30*1000</f>
        <v>62154.998131539614</v>
      </c>
      <c r="O30" s="99">
        <f t="shared" si="9"/>
        <v>67028.58460119872</v>
      </c>
      <c r="P30" s="99">
        <f t="shared" si="9"/>
        <v>64893.15000000001</v>
      </c>
    </row>
    <row r="31" spans="1:16" ht="28.5" customHeight="1">
      <c r="A31" s="56" t="s">
        <v>86</v>
      </c>
      <c r="B31" s="89">
        <v>109.9</v>
      </c>
      <c r="C31" s="89">
        <v>104.26</v>
      </c>
      <c r="D31" s="89">
        <v>101.72</v>
      </c>
      <c r="E31" s="73">
        <v>96.85</v>
      </c>
      <c r="F31" s="73">
        <v>93</v>
      </c>
      <c r="G31" s="89">
        <v>6784.82</v>
      </c>
      <c r="H31" s="89">
        <v>5939.8</v>
      </c>
      <c r="I31" s="89">
        <v>6165.07</v>
      </c>
      <c r="J31" s="73">
        <v>5885.76</v>
      </c>
      <c r="K31" s="73">
        <v>6477</v>
      </c>
      <c r="L31" s="99">
        <f t="shared" si="7"/>
        <v>61736.30573248407</v>
      </c>
      <c r="M31" s="99">
        <f t="shared" si="8"/>
        <v>56971.03395357759</v>
      </c>
      <c r="N31" s="99">
        <f t="shared" si="10"/>
        <v>60608.23830121903</v>
      </c>
      <c r="O31" s="99">
        <f t="shared" si="9"/>
        <v>60771.91533298916</v>
      </c>
      <c r="P31" s="99">
        <f t="shared" si="9"/>
        <v>69645.16129032258</v>
      </c>
    </row>
    <row r="32" spans="1:16" ht="28.5" customHeight="1">
      <c r="A32" s="56" t="s">
        <v>23</v>
      </c>
      <c r="B32" s="89">
        <v>16.1</v>
      </c>
      <c r="C32" s="89">
        <v>17.021</v>
      </c>
      <c r="D32" s="89">
        <v>17.73</v>
      </c>
      <c r="E32" s="73">
        <v>17.403</v>
      </c>
      <c r="F32" s="73">
        <v>20.995</v>
      </c>
      <c r="G32" s="89">
        <v>1617.03</v>
      </c>
      <c r="H32" s="89">
        <v>1945.042</v>
      </c>
      <c r="I32" s="89">
        <v>2105.51</v>
      </c>
      <c r="J32" s="73">
        <v>2075</v>
      </c>
      <c r="K32" s="73">
        <v>1549.747</v>
      </c>
      <c r="L32" s="99">
        <f t="shared" si="7"/>
        <v>100436.64596273292</v>
      </c>
      <c r="M32" s="99">
        <f t="shared" si="8"/>
        <v>114273.0744374596</v>
      </c>
      <c r="N32" s="99">
        <f t="shared" si="10"/>
        <v>118754.08911449522</v>
      </c>
      <c r="O32" s="99">
        <f t="shared" si="9"/>
        <v>119232.31626731023</v>
      </c>
      <c r="P32" s="99">
        <f t="shared" si="9"/>
        <v>73815.05120266731</v>
      </c>
    </row>
    <row r="33" spans="1:16" ht="28.5" customHeight="1">
      <c r="A33" s="56" t="s">
        <v>110</v>
      </c>
      <c r="B33" s="89"/>
      <c r="C33" s="89">
        <v>0.27</v>
      </c>
      <c r="D33" s="89">
        <v>0.19</v>
      </c>
      <c r="E33" s="73">
        <v>0.0333</v>
      </c>
      <c r="F33" s="73">
        <v>0.067</v>
      </c>
      <c r="G33" s="74">
        <v>0</v>
      </c>
      <c r="H33" s="89">
        <v>7.136</v>
      </c>
      <c r="I33" s="89">
        <v>3.96</v>
      </c>
      <c r="J33" s="73">
        <v>0.705</v>
      </c>
      <c r="K33" s="73">
        <v>0.8567</v>
      </c>
      <c r="L33" s="74">
        <v>0</v>
      </c>
      <c r="M33" s="99">
        <f t="shared" si="8"/>
        <v>26429.629629629628</v>
      </c>
      <c r="N33" s="99">
        <f t="shared" si="10"/>
        <v>20842.105263157893</v>
      </c>
      <c r="O33" s="99">
        <f t="shared" si="9"/>
        <v>21171.17117117117</v>
      </c>
      <c r="P33" s="99">
        <f t="shared" si="9"/>
        <v>12786.567164179103</v>
      </c>
    </row>
    <row r="34" spans="1:16" ht="28.5" customHeight="1">
      <c r="A34" s="51" t="s">
        <v>54</v>
      </c>
      <c r="B34" s="89">
        <v>0.662</v>
      </c>
      <c r="C34" s="89">
        <v>0.67</v>
      </c>
      <c r="D34" s="89">
        <v>0.66</v>
      </c>
      <c r="E34" s="73">
        <v>0.19805</v>
      </c>
      <c r="F34" s="73">
        <v>0.17</v>
      </c>
      <c r="G34" s="89">
        <v>52.96</v>
      </c>
      <c r="H34" s="89">
        <v>53.2</v>
      </c>
      <c r="I34" s="89">
        <v>52.8</v>
      </c>
      <c r="J34" s="73">
        <v>1.5844</v>
      </c>
      <c r="K34" s="73">
        <v>13.6</v>
      </c>
      <c r="L34" s="99">
        <f>G34/B34*1000</f>
        <v>80000</v>
      </c>
      <c r="M34" s="99">
        <f t="shared" si="8"/>
        <v>79402.98507462686</v>
      </c>
      <c r="N34" s="99">
        <f t="shared" si="10"/>
        <v>79999.99999999999</v>
      </c>
      <c r="O34" s="99">
        <f t="shared" si="9"/>
        <v>8000</v>
      </c>
      <c r="P34" s="99">
        <f t="shared" si="9"/>
        <v>79999.99999999999</v>
      </c>
    </row>
    <row r="35" spans="1:16" ht="28.5" customHeight="1">
      <c r="A35" s="56" t="s">
        <v>127</v>
      </c>
      <c r="B35" s="89">
        <v>2.027</v>
      </c>
      <c r="C35" s="89">
        <v>2.02</v>
      </c>
      <c r="D35" s="89">
        <v>1.92</v>
      </c>
      <c r="E35" s="73">
        <v>1.821</v>
      </c>
      <c r="F35" s="74">
        <v>0</v>
      </c>
      <c r="G35" s="89">
        <v>304.516</v>
      </c>
      <c r="H35" s="89">
        <v>304.07</v>
      </c>
      <c r="I35" s="89">
        <v>316.97</v>
      </c>
      <c r="J35" s="73">
        <v>213.968</v>
      </c>
      <c r="K35" s="74">
        <v>0</v>
      </c>
      <c r="L35" s="99">
        <f>G35/B35*1000</f>
        <v>150229.89639861864</v>
      </c>
      <c r="M35" s="99">
        <f t="shared" si="8"/>
        <v>150529.70297029702</v>
      </c>
      <c r="N35" s="99">
        <f t="shared" si="10"/>
        <v>165088.5416666667</v>
      </c>
      <c r="O35" s="99">
        <f t="shared" si="9"/>
        <v>117500.27457440966</v>
      </c>
      <c r="P35" s="99">
        <v>0</v>
      </c>
    </row>
    <row r="36" spans="1:16" s="163" customFormat="1" ht="28.5" customHeight="1">
      <c r="A36" s="160" t="s">
        <v>45</v>
      </c>
      <c r="B36" s="161">
        <f aca="true" t="shared" si="11" ref="B36:I36">SUM(B5:B35)</f>
        <v>4998.943000000001</v>
      </c>
      <c r="C36" s="161">
        <f t="shared" si="11"/>
        <v>4993.348000000001</v>
      </c>
      <c r="D36" s="161">
        <f t="shared" si="11"/>
        <v>5066.78</v>
      </c>
      <c r="E36" s="161">
        <f t="shared" si="11"/>
        <v>4927.123350000001</v>
      </c>
      <c r="F36" s="161">
        <v>4435.69</v>
      </c>
      <c r="G36" s="161">
        <f t="shared" si="11"/>
        <v>341199.6503250001</v>
      </c>
      <c r="H36" s="161">
        <f t="shared" si="11"/>
        <v>352141.82934000005</v>
      </c>
      <c r="I36" s="161">
        <f t="shared" si="11"/>
        <v>362332.77</v>
      </c>
      <c r="J36" s="161">
        <f>SUM(J5:J35)</f>
        <v>348448.39547700004</v>
      </c>
      <c r="K36" s="161">
        <v>306069</v>
      </c>
      <c r="L36" s="162">
        <f>G36/B36*1000</f>
        <v>68254.35903650032</v>
      </c>
      <c r="M36" s="162">
        <f t="shared" si="8"/>
        <v>70522.18858769708</v>
      </c>
      <c r="N36" s="162">
        <f t="shared" si="10"/>
        <v>71511.44711236724</v>
      </c>
      <c r="O36" s="162">
        <f t="shared" si="9"/>
        <v>70720.45303615142</v>
      </c>
      <c r="P36" s="162">
        <f t="shared" si="9"/>
        <v>69001.44058759743</v>
      </c>
    </row>
    <row r="37" ht="18">
      <c r="A37" s="58"/>
    </row>
    <row r="38" ht="18">
      <c r="A38" s="21"/>
    </row>
    <row r="39" spans="2:11" ht="18"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2:11" ht="18"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</sheetData>
  <sheetProtection/>
  <mergeCells count="5">
    <mergeCell ref="B2:F2"/>
    <mergeCell ref="A2:A3"/>
    <mergeCell ref="L2:P2"/>
    <mergeCell ref="G2:K2"/>
    <mergeCell ref="A1:P1"/>
  </mergeCells>
  <printOptions horizontalCentered="1" verticalCentered="1"/>
  <pageMargins left="0.2362204724409449" right="0.2362204724409449" top="0.31496062992125984" bottom="0.1968503937007874" header="0.5118110236220472" footer="0.5118110236220472"/>
  <pageSetup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P34"/>
  <sheetViews>
    <sheetView view="pageBreakPreview" zoomScale="55" zoomScaleNormal="75" zoomScaleSheetLayoutView="55" zoomScalePageLayoutView="0" workbookViewId="0" topLeftCell="A1">
      <selection activeCell="J14" sqref="J14"/>
    </sheetView>
  </sheetViews>
  <sheetFormatPr defaultColWidth="9.140625" defaultRowHeight="12.75"/>
  <cols>
    <col min="1" max="1" width="23.28125" style="33" customWidth="1"/>
    <col min="2" max="16" width="13.140625" style="33" customWidth="1"/>
    <col min="17" max="16384" width="9.140625" style="33" customWidth="1"/>
  </cols>
  <sheetData>
    <row r="1" spans="1:16" ht="27.75" customHeight="1">
      <c r="A1" s="223" t="s">
        <v>139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ht="3" customHeight="1" hidden="1">
      <c r="A2" s="34"/>
    </row>
    <row r="3" spans="1:16" ht="36.75" customHeight="1">
      <c r="A3" s="221" t="s">
        <v>0</v>
      </c>
      <c r="B3" s="185" t="s">
        <v>81</v>
      </c>
      <c r="C3" s="186"/>
      <c r="D3" s="186"/>
      <c r="E3" s="186"/>
      <c r="F3" s="187"/>
      <c r="G3" s="224" t="s">
        <v>99</v>
      </c>
      <c r="H3" s="225"/>
      <c r="I3" s="225"/>
      <c r="J3" s="225"/>
      <c r="K3" s="226"/>
      <c r="L3" s="184" t="s">
        <v>79</v>
      </c>
      <c r="M3" s="184"/>
      <c r="N3" s="184"/>
      <c r="O3" s="184"/>
      <c r="P3" s="184"/>
    </row>
    <row r="4" spans="1:16" s="36" customFormat="1" ht="33.75" customHeight="1">
      <c r="A4" s="221"/>
      <c r="B4" s="165" t="s">
        <v>112</v>
      </c>
      <c r="C4" s="165" t="s">
        <v>113</v>
      </c>
      <c r="D4" s="165" t="s">
        <v>115</v>
      </c>
      <c r="E4" s="165" t="s">
        <v>121</v>
      </c>
      <c r="F4" s="165" t="s">
        <v>122</v>
      </c>
      <c r="G4" s="165" t="s">
        <v>112</v>
      </c>
      <c r="H4" s="165" t="s">
        <v>113</v>
      </c>
      <c r="I4" s="165" t="s">
        <v>115</v>
      </c>
      <c r="J4" s="165" t="s">
        <v>121</v>
      </c>
      <c r="K4" s="165" t="s">
        <v>122</v>
      </c>
      <c r="L4" s="165" t="s">
        <v>112</v>
      </c>
      <c r="M4" s="165" t="s">
        <v>113</v>
      </c>
      <c r="N4" s="165" t="s">
        <v>115</v>
      </c>
      <c r="O4" s="165" t="s">
        <v>121</v>
      </c>
      <c r="P4" s="165" t="s">
        <v>122</v>
      </c>
    </row>
    <row r="5" spans="1:16" ht="28.5" customHeight="1">
      <c r="A5" s="37" t="s">
        <v>1</v>
      </c>
      <c r="B5" s="89">
        <v>588.51</v>
      </c>
      <c r="C5" s="89">
        <v>676.43</v>
      </c>
      <c r="D5" s="89">
        <v>821</v>
      </c>
      <c r="E5" s="73">
        <v>666</v>
      </c>
      <c r="F5" s="73">
        <v>472</v>
      </c>
      <c r="G5" s="89">
        <v>2025.19</v>
      </c>
      <c r="H5" s="89">
        <v>1411.12</v>
      </c>
      <c r="I5" s="89">
        <v>2841</v>
      </c>
      <c r="J5" s="73">
        <v>1888</v>
      </c>
      <c r="K5" s="73">
        <v>1564</v>
      </c>
      <c r="L5" s="99">
        <f>G5*170/B5</f>
        <v>585.0067118655588</v>
      </c>
      <c r="M5" s="99">
        <f>H5*170/C5</f>
        <v>354.6418698165368</v>
      </c>
      <c r="N5" s="99">
        <f>I5*170/D5</f>
        <v>588.2704019488428</v>
      </c>
      <c r="O5" s="99">
        <f>J5*170/E5</f>
        <v>481.9219219219219</v>
      </c>
      <c r="P5" s="99">
        <f>K5*170/F5</f>
        <v>563.3050847457627</v>
      </c>
    </row>
    <row r="6" spans="1:16" ht="32.25" customHeight="1" hidden="1">
      <c r="A6" s="37" t="s">
        <v>29</v>
      </c>
      <c r="B6" s="89" t="s">
        <v>100</v>
      </c>
      <c r="C6" s="89" t="s">
        <v>100</v>
      </c>
      <c r="D6" s="89" t="s">
        <v>100</v>
      </c>
      <c r="E6" s="89"/>
      <c r="F6" s="89"/>
      <c r="G6" s="89" t="s">
        <v>100</v>
      </c>
      <c r="H6" s="89" t="s">
        <v>100</v>
      </c>
      <c r="I6" s="89" t="s">
        <v>100</v>
      </c>
      <c r="J6" s="89"/>
      <c r="K6" s="89"/>
      <c r="L6" s="99" t="s">
        <v>100</v>
      </c>
      <c r="M6" s="99" t="s">
        <v>100</v>
      </c>
      <c r="N6" s="99" t="s">
        <v>100</v>
      </c>
      <c r="O6" s="99" t="e">
        <f aca="true" t="shared" si="0" ref="O6:O28">J6*170/E6</f>
        <v>#DIV/0!</v>
      </c>
      <c r="P6" s="99" t="e">
        <f aca="true" t="shared" si="1" ref="P6:P28">K6*170/F6</f>
        <v>#DIV/0!</v>
      </c>
    </row>
    <row r="7" spans="1:16" ht="32.25" customHeight="1" hidden="1">
      <c r="A7" s="37" t="s">
        <v>27</v>
      </c>
      <c r="B7" s="89" t="s">
        <v>100</v>
      </c>
      <c r="C7" s="89" t="s">
        <v>100</v>
      </c>
      <c r="D7" s="89" t="s">
        <v>100</v>
      </c>
      <c r="E7" s="89"/>
      <c r="F7" s="89"/>
      <c r="G7" s="89" t="s">
        <v>100</v>
      </c>
      <c r="H7" s="89" t="s">
        <v>100</v>
      </c>
      <c r="I7" s="89" t="s">
        <v>100</v>
      </c>
      <c r="J7" s="89"/>
      <c r="K7" s="89"/>
      <c r="L7" s="99" t="s">
        <v>100</v>
      </c>
      <c r="M7" s="99" t="s">
        <v>100</v>
      </c>
      <c r="N7" s="99" t="s">
        <v>100</v>
      </c>
      <c r="O7" s="99" t="e">
        <f t="shared" si="0"/>
        <v>#DIV/0!</v>
      </c>
      <c r="P7" s="99" t="e">
        <f t="shared" si="1"/>
        <v>#DIV/0!</v>
      </c>
    </row>
    <row r="8" spans="1:16" ht="28.5" customHeight="1">
      <c r="A8" s="37" t="s">
        <v>8</v>
      </c>
      <c r="B8" s="89">
        <v>2497</v>
      </c>
      <c r="C8" s="89">
        <v>2519</v>
      </c>
      <c r="D8" s="89">
        <v>2773</v>
      </c>
      <c r="E8" s="73">
        <v>2722</v>
      </c>
      <c r="F8" s="73">
        <v>2382</v>
      </c>
      <c r="G8" s="89">
        <v>8850</v>
      </c>
      <c r="H8" s="89">
        <v>10150</v>
      </c>
      <c r="I8" s="89">
        <v>10500</v>
      </c>
      <c r="J8" s="73">
        <v>9400</v>
      </c>
      <c r="K8" s="73">
        <v>8575</v>
      </c>
      <c r="L8" s="99">
        <f aca="true" t="shared" si="2" ref="L8:N9">G8*170/B8</f>
        <v>602.5230276331598</v>
      </c>
      <c r="M8" s="99">
        <f t="shared" si="2"/>
        <v>684.9940452560539</v>
      </c>
      <c r="N8" s="99">
        <f t="shared" si="2"/>
        <v>643.7071763433105</v>
      </c>
      <c r="O8" s="99">
        <f t="shared" si="0"/>
        <v>587.0683321087436</v>
      </c>
      <c r="P8" s="99">
        <f t="shared" si="1"/>
        <v>611.9857262804366</v>
      </c>
    </row>
    <row r="9" spans="1:16" ht="28.5" customHeight="1">
      <c r="A9" s="37" t="s">
        <v>35</v>
      </c>
      <c r="B9" s="89">
        <v>614</v>
      </c>
      <c r="C9" s="89">
        <v>536</v>
      </c>
      <c r="D9" s="89">
        <v>648</v>
      </c>
      <c r="E9" s="73">
        <v>615</v>
      </c>
      <c r="F9" s="73">
        <v>570</v>
      </c>
      <c r="G9" s="89">
        <v>2500</v>
      </c>
      <c r="H9" s="89">
        <v>2302</v>
      </c>
      <c r="I9" s="89">
        <v>2300</v>
      </c>
      <c r="J9" s="73">
        <v>993</v>
      </c>
      <c r="K9" s="73">
        <v>2041</v>
      </c>
      <c r="L9" s="99">
        <f t="shared" si="2"/>
        <v>692.1824104234528</v>
      </c>
      <c r="M9" s="99">
        <f t="shared" si="2"/>
        <v>730.1119402985074</v>
      </c>
      <c r="N9" s="99">
        <f t="shared" si="2"/>
        <v>603.395061728395</v>
      </c>
      <c r="O9" s="99">
        <f t="shared" si="0"/>
        <v>274.4878048780488</v>
      </c>
      <c r="P9" s="99">
        <f t="shared" si="1"/>
        <v>608.719298245614</v>
      </c>
    </row>
    <row r="10" spans="1:16" ht="32.25" customHeight="1" hidden="1">
      <c r="A10" s="37" t="s">
        <v>46</v>
      </c>
      <c r="B10" s="89" t="s">
        <v>100</v>
      </c>
      <c r="C10" s="89" t="s">
        <v>100</v>
      </c>
      <c r="D10" s="89" t="s">
        <v>100</v>
      </c>
      <c r="E10" s="89"/>
      <c r="F10" s="89"/>
      <c r="G10" s="89" t="s">
        <v>100</v>
      </c>
      <c r="H10" s="89" t="s">
        <v>100</v>
      </c>
      <c r="I10" s="89" t="s">
        <v>100</v>
      </c>
      <c r="J10" s="89"/>
      <c r="K10" s="89"/>
      <c r="L10" s="99" t="s">
        <v>100</v>
      </c>
      <c r="M10" s="99" t="s">
        <v>100</v>
      </c>
      <c r="N10" s="99" t="s">
        <v>100</v>
      </c>
      <c r="O10" s="99" t="e">
        <f t="shared" si="0"/>
        <v>#DIV/0!</v>
      </c>
      <c r="P10" s="99" t="e">
        <f t="shared" si="1"/>
        <v>#DIV/0!</v>
      </c>
    </row>
    <row r="11" spans="1:16" ht="28.5" customHeight="1">
      <c r="A11" s="37" t="s">
        <v>11</v>
      </c>
      <c r="B11" s="89">
        <v>485</v>
      </c>
      <c r="C11" s="89">
        <v>662</v>
      </c>
      <c r="D11" s="89">
        <v>875</v>
      </c>
      <c r="E11" s="73">
        <f>599+42+1</f>
        <v>642</v>
      </c>
      <c r="F11" s="73">
        <v>510</v>
      </c>
      <c r="G11" s="89">
        <v>1255</v>
      </c>
      <c r="H11" s="89">
        <v>1875</v>
      </c>
      <c r="I11" s="89">
        <v>2311</v>
      </c>
      <c r="J11" s="73">
        <v>2000</v>
      </c>
      <c r="K11" s="73">
        <v>1010</v>
      </c>
      <c r="L11" s="99">
        <f>G11*170/B11</f>
        <v>439.89690721649487</v>
      </c>
      <c r="M11" s="99">
        <f>H11*170/C11</f>
        <v>481.49546827794563</v>
      </c>
      <c r="N11" s="99">
        <f>I11*170/D11</f>
        <v>448.9942857142857</v>
      </c>
      <c r="O11" s="99">
        <f t="shared" si="0"/>
        <v>529.5950155763239</v>
      </c>
      <c r="P11" s="99">
        <f t="shared" si="1"/>
        <v>336.6666666666667</v>
      </c>
    </row>
    <row r="12" spans="1:16" ht="32.25" customHeight="1" hidden="1">
      <c r="A12" s="37" t="s">
        <v>12</v>
      </c>
      <c r="B12" s="89" t="s">
        <v>100</v>
      </c>
      <c r="C12" s="89" t="s">
        <v>100</v>
      </c>
      <c r="D12" s="89" t="s">
        <v>100</v>
      </c>
      <c r="E12" s="89"/>
      <c r="F12" s="89"/>
      <c r="G12" s="89" t="s">
        <v>100</v>
      </c>
      <c r="H12" s="89" t="s">
        <v>100</v>
      </c>
      <c r="I12" s="89" t="s">
        <v>100</v>
      </c>
      <c r="J12" s="89"/>
      <c r="K12" s="89"/>
      <c r="L12" s="99" t="s">
        <v>100</v>
      </c>
      <c r="M12" s="99" t="s">
        <v>100</v>
      </c>
      <c r="N12" s="99" t="s">
        <v>100</v>
      </c>
      <c r="O12" s="99" t="e">
        <f t="shared" si="0"/>
        <v>#DIV/0!</v>
      </c>
      <c r="P12" s="99" t="e">
        <f t="shared" si="1"/>
        <v>#DIV/0!</v>
      </c>
    </row>
    <row r="13" spans="1:16" ht="28.5" customHeight="1">
      <c r="A13" s="37" t="s">
        <v>13</v>
      </c>
      <c r="B13" s="89">
        <v>608</v>
      </c>
      <c r="C13" s="89">
        <v>514</v>
      </c>
      <c r="D13" s="89">
        <v>547</v>
      </c>
      <c r="E13" s="73">
        <v>563</v>
      </c>
      <c r="F13" s="73">
        <v>599</v>
      </c>
      <c r="G13" s="89">
        <v>2200</v>
      </c>
      <c r="H13" s="89">
        <v>1730</v>
      </c>
      <c r="I13" s="89">
        <v>1750</v>
      </c>
      <c r="J13" s="73">
        <v>1800</v>
      </c>
      <c r="K13" s="73">
        <v>2050.6941176470586</v>
      </c>
      <c r="L13" s="99">
        <f aca="true" t="shared" si="3" ref="L13:N14">G13*170/B13</f>
        <v>615.1315789473684</v>
      </c>
      <c r="M13" s="99">
        <f t="shared" si="3"/>
        <v>572.1789883268483</v>
      </c>
      <c r="N13" s="99">
        <f t="shared" si="3"/>
        <v>543.8756855575868</v>
      </c>
      <c r="O13" s="99">
        <f t="shared" si="0"/>
        <v>543.5168738898757</v>
      </c>
      <c r="P13" s="99">
        <f t="shared" si="1"/>
        <v>581.9999999999999</v>
      </c>
    </row>
    <row r="14" spans="1:16" ht="28.5" customHeight="1">
      <c r="A14" s="37" t="s">
        <v>14</v>
      </c>
      <c r="B14" s="89">
        <v>4146</v>
      </c>
      <c r="C14" s="89">
        <v>4192</v>
      </c>
      <c r="D14" s="89">
        <v>4190</v>
      </c>
      <c r="E14" s="73">
        <v>4207</v>
      </c>
      <c r="F14" s="73">
        <v>3800.4</v>
      </c>
      <c r="G14" s="89">
        <v>7655</v>
      </c>
      <c r="H14" s="89">
        <v>8834</v>
      </c>
      <c r="I14" s="89">
        <v>7000</v>
      </c>
      <c r="J14" s="73">
        <v>7500</v>
      </c>
      <c r="K14" s="73">
        <v>10618.764705882353</v>
      </c>
      <c r="L14" s="99">
        <f t="shared" si="3"/>
        <v>313.88084901109505</v>
      </c>
      <c r="M14" s="99">
        <f t="shared" si="3"/>
        <v>358.24904580152673</v>
      </c>
      <c r="N14" s="99">
        <f t="shared" si="3"/>
        <v>284.00954653937947</v>
      </c>
      <c r="O14" s="99">
        <f t="shared" si="0"/>
        <v>303.06631804135964</v>
      </c>
      <c r="P14" s="99">
        <f t="shared" si="1"/>
        <v>475</v>
      </c>
    </row>
    <row r="15" spans="1:16" ht="32.25" customHeight="1" hidden="1">
      <c r="A15" s="37" t="s">
        <v>38</v>
      </c>
      <c r="B15" s="89" t="s">
        <v>100</v>
      </c>
      <c r="C15" s="89" t="s">
        <v>100</v>
      </c>
      <c r="D15" s="89" t="s">
        <v>100</v>
      </c>
      <c r="E15" s="90" t="s">
        <v>100</v>
      </c>
      <c r="F15" s="90"/>
      <c r="G15" s="89" t="s">
        <v>100</v>
      </c>
      <c r="H15" s="89" t="s">
        <v>100</v>
      </c>
      <c r="I15" s="89" t="s">
        <v>100</v>
      </c>
      <c r="J15" s="73" t="s">
        <v>100</v>
      </c>
      <c r="K15" s="73"/>
      <c r="L15" s="99" t="s">
        <v>100</v>
      </c>
      <c r="M15" s="99" t="s">
        <v>100</v>
      </c>
      <c r="N15" s="99" t="s">
        <v>100</v>
      </c>
      <c r="O15" s="99" t="e">
        <f t="shared" si="0"/>
        <v>#VALUE!</v>
      </c>
      <c r="P15" s="99" t="e">
        <f t="shared" si="1"/>
        <v>#DIV/0!</v>
      </c>
    </row>
    <row r="16" spans="1:16" ht="32.25" customHeight="1" hidden="1">
      <c r="A16" s="37" t="s">
        <v>39</v>
      </c>
      <c r="B16" s="89" t="s">
        <v>100</v>
      </c>
      <c r="C16" s="89" t="s">
        <v>100</v>
      </c>
      <c r="D16" s="89" t="s">
        <v>100</v>
      </c>
      <c r="E16" s="90" t="s">
        <v>100</v>
      </c>
      <c r="F16" s="90"/>
      <c r="G16" s="89" t="s">
        <v>100</v>
      </c>
      <c r="H16" s="89" t="s">
        <v>100</v>
      </c>
      <c r="I16" s="89" t="s">
        <v>100</v>
      </c>
      <c r="J16" s="73" t="s">
        <v>100</v>
      </c>
      <c r="K16" s="73"/>
      <c r="L16" s="99" t="s">
        <v>100</v>
      </c>
      <c r="M16" s="99" t="s">
        <v>100</v>
      </c>
      <c r="N16" s="99" t="s">
        <v>100</v>
      </c>
      <c r="O16" s="99" t="e">
        <f t="shared" si="0"/>
        <v>#VALUE!</v>
      </c>
      <c r="P16" s="99" t="e">
        <f t="shared" si="1"/>
        <v>#DIV/0!</v>
      </c>
    </row>
    <row r="17" spans="1:16" ht="32.25" customHeight="1" hidden="1">
      <c r="A17" s="37" t="s">
        <v>15</v>
      </c>
      <c r="B17" s="89" t="s">
        <v>100</v>
      </c>
      <c r="C17" s="89" t="s">
        <v>100</v>
      </c>
      <c r="D17" s="89" t="s">
        <v>100</v>
      </c>
      <c r="E17" s="89" t="s">
        <v>100</v>
      </c>
      <c r="F17" s="89"/>
      <c r="G17" s="89" t="s">
        <v>100</v>
      </c>
      <c r="H17" s="89" t="s">
        <v>100</v>
      </c>
      <c r="I17" s="89" t="s">
        <v>100</v>
      </c>
      <c r="J17" s="89" t="s">
        <v>100</v>
      </c>
      <c r="K17" s="89"/>
      <c r="L17" s="99" t="s">
        <v>100</v>
      </c>
      <c r="M17" s="99" t="s">
        <v>100</v>
      </c>
      <c r="N17" s="99" t="s">
        <v>100</v>
      </c>
      <c r="O17" s="99" t="e">
        <f t="shared" si="0"/>
        <v>#VALUE!</v>
      </c>
      <c r="P17" s="99" t="e">
        <f t="shared" si="1"/>
        <v>#DIV/0!</v>
      </c>
    </row>
    <row r="18" spans="1:16" ht="28.5" customHeight="1">
      <c r="A18" s="37" t="s">
        <v>111</v>
      </c>
      <c r="B18" s="89">
        <v>119</v>
      </c>
      <c r="C18" s="89">
        <v>124</v>
      </c>
      <c r="D18" s="89">
        <v>127</v>
      </c>
      <c r="E18" s="73">
        <v>125</v>
      </c>
      <c r="F18" s="73">
        <v>136</v>
      </c>
      <c r="G18" s="89">
        <v>400</v>
      </c>
      <c r="H18" s="89">
        <v>299</v>
      </c>
      <c r="I18" s="89">
        <v>400</v>
      </c>
      <c r="J18" s="73">
        <v>300</v>
      </c>
      <c r="K18" s="73">
        <v>382</v>
      </c>
      <c r="L18" s="99">
        <f aca="true" t="shared" si="4" ref="L18:N22">G18*170/B18</f>
        <v>571.4285714285714</v>
      </c>
      <c r="M18" s="99">
        <f t="shared" si="4"/>
        <v>409.9193548387097</v>
      </c>
      <c r="N18" s="99">
        <f t="shared" si="4"/>
        <v>535.4330708661417</v>
      </c>
      <c r="O18" s="99">
        <f t="shared" si="0"/>
        <v>408</v>
      </c>
      <c r="P18" s="99">
        <f t="shared" si="1"/>
        <v>477.5</v>
      </c>
    </row>
    <row r="19" spans="1:16" ht="28.5" customHeight="1">
      <c r="A19" s="37" t="s">
        <v>17</v>
      </c>
      <c r="B19" s="89">
        <v>480</v>
      </c>
      <c r="C19" s="89">
        <v>446</v>
      </c>
      <c r="D19" s="89">
        <v>420</v>
      </c>
      <c r="E19" s="73">
        <v>339</v>
      </c>
      <c r="F19" s="73">
        <v>285</v>
      </c>
      <c r="G19" s="89">
        <v>2000</v>
      </c>
      <c r="H19" s="89">
        <v>1968</v>
      </c>
      <c r="I19" s="89">
        <v>1600</v>
      </c>
      <c r="J19" s="73">
        <v>750</v>
      </c>
      <c r="K19" s="73">
        <v>1031.0294117647059</v>
      </c>
      <c r="L19" s="99">
        <f t="shared" si="4"/>
        <v>708.3333333333334</v>
      </c>
      <c r="M19" s="99">
        <f t="shared" si="4"/>
        <v>750.1345291479821</v>
      </c>
      <c r="N19" s="99">
        <f t="shared" si="4"/>
        <v>647.6190476190476</v>
      </c>
      <c r="O19" s="99">
        <f t="shared" si="0"/>
        <v>376.1061946902655</v>
      </c>
      <c r="P19" s="99">
        <f t="shared" si="1"/>
        <v>615</v>
      </c>
    </row>
    <row r="20" spans="1:16" ht="28.5" customHeight="1">
      <c r="A20" s="37" t="s">
        <v>18</v>
      </c>
      <c r="B20" s="89">
        <v>450</v>
      </c>
      <c r="C20" s="89">
        <v>393</v>
      </c>
      <c r="D20" s="89">
        <v>487</v>
      </c>
      <c r="E20" s="73">
        <v>448</v>
      </c>
      <c r="F20" s="73">
        <v>471</v>
      </c>
      <c r="G20" s="89">
        <v>1400</v>
      </c>
      <c r="H20" s="89">
        <v>1287</v>
      </c>
      <c r="I20" s="89">
        <v>1527</v>
      </c>
      <c r="J20" s="73">
        <v>1214</v>
      </c>
      <c r="K20" s="73">
        <v>1401.9176470588236</v>
      </c>
      <c r="L20" s="99">
        <f t="shared" si="4"/>
        <v>528.8888888888889</v>
      </c>
      <c r="M20" s="99">
        <f t="shared" si="4"/>
        <v>556.7175572519084</v>
      </c>
      <c r="N20" s="99">
        <f t="shared" si="4"/>
        <v>533.0390143737167</v>
      </c>
      <c r="O20" s="99">
        <f t="shared" si="0"/>
        <v>460.66964285714283</v>
      </c>
      <c r="P20" s="99">
        <f t="shared" si="1"/>
        <v>506</v>
      </c>
    </row>
    <row r="21" spans="1:16" ht="28.5" customHeight="1">
      <c r="A21" s="37" t="s">
        <v>19</v>
      </c>
      <c r="B21" s="89">
        <v>128</v>
      </c>
      <c r="C21" s="89">
        <v>152</v>
      </c>
      <c r="D21" s="89">
        <v>187</v>
      </c>
      <c r="E21" s="86">
        <v>142</v>
      </c>
      <c r="F21" s="86">
        <v>142</v>
      </c>
      <c r="G21" s="89">
        <v>500</v>
      </c>
      <c r="H21" s="89">
        <v>408</v>
      </c>
      <c r="I21" s="89">
        <v>686</v>
      </c>
      <c r="J21" s="86">
        <v>369</v>
      </c>
      <c r="K21" s="86">
        <v>359</v>
      </c>
      <c r="L21" s="99">
        <f t="shared" si="4"/>
        <v>664.0625</v>
      </c>
      <c r="M21" s="99">
        <f t="shared" si="4"/>
        <v>456.3157894736842</v>
      </c>
      <c r="N21" s="99">
        <f t="shared" si="4"/>
        <v>623.6363636363636</v>
      </c>
      <c r="O21" s="99">
        <f t="shared" si="0"/>
        <v>441.76056338028167</v>
      </c>
      <c r="P21" s="99">
        <f t="shared" si="1"/>
        <v>429.7887323943662</v>
      </c>
    </row>
    <row r="22" spans="1:16" ht="28.5" customHeight="1">
      <c r="A22" s="37" t="s">
        <v>116</v>
      </c>
      <c r="B22" s="89">
        <v>1811.49</v>
      </c>
      <c r="C22" s="89">
        <v>1712.57</v>
      </c>
      <c r="D22" s="89">
        <v>1713</v>
      </c>
      <c r="E22" s="73">
        <v>1773</v>
      </c>
      <c r="F22" s="73">
        <v>1409</v>
      </c>
      <c r="G22" s="89">
        <v>5324.81</v>
      </c>
      <c r="H22" s="89">
        <v>5544.88</v>
      </c>
      <c r="I22" s="89">
        <v>3800</v>
      </c>
      <c r="J22" s="73">
        <v>3661</v>
      </c>
      <c r="K22" s="73">
        <v>3444</v>
      </c>
      <c r="L22" s="99">
        <f t="shared" si="4"/>
        <v>499.70891365671355</v>
      </c>
      <c r="M22" s="99">
        <f t="shared" si="4"/>
        <v>550.4181434919449</v>
      </c>
      <c r="N22" s="99">
        <f t="shared" si="4"/>
        <v>377.1161704611792</v>
      </c>
      <c r="O22" s="99">
        <f t="shared" si="0"/>
        <v>351.0265087422448</v>
      </c>
      <c r="P22" s="99">
        <f t="shared" si="1"/>
        <v>415.5287437899219</v>
      </c>
    </row>
    <row r="23" spans="1:16" ht="32.25" customHeight="1" hidden="1">
      <c r="A23" s="37" t="s">
        <v>53</v>
      </c>
      <c r="B23" s="89" t="s">
        <v>100</v>
      </c>
      <c r="C23" s="89" t="s">
        <v>100</v>
      </c>
      <c r="D23" s="89" t="s">
        <v>100</v>
      </c>
      <c r="E23" s="89"/>
      <c r="F23" s="89"/>
      <c r="G23" s="89" t="s">
        <v>100</v>
      </c>
      <c r="H23" s="89" t="s">
        <v>100</v>
      </c>
      <c r="I23" s="89" t="s">
        <v>100</v>
      </c>
      <c r="J23" s="89"/>
      <c r="K23" s="89"/>
      <c r="L23" s="99" t="s">
        <v>100</v>
      </c>
      <c r="M23" s="99" t="s">
        <v>100</v>
      </c>
      <c r="N23" s="99" t="s">
        <v>100</v>
      </c>
      <c r="O23" s="99" t="e">
        <f t="shared" si="0"/>
        <v>#DIV/0!</v>
      </c>
      <c r="P23" s="99" t="e">
        <f t="shared" si="1"/>
        <v>#DIV/0!</v>
      </c>
    </row>
    <row r="24" spans="1:16" ht="32.25" customHeight="1" hidden="1">
      <c r="A24" s="37" t="s">
        <v>22</v>
      </c>
      <c r="B24" s="89" t="s">
        <v>100</v>
      </c>
      <c r="C24" s="89" t="s">
        <v>100</v>
      </c>
      <c r="D24" s="89" t="s">
        <v>100</v>
      </c>
      <c r="E24" s="89"/>
      <c r="F24" s="89"/>
      <c r="G24" s="89" t="s">
        <v>100</v>
      </c>
      <c r="H24" s="89" t="s">
        <v>100</v>
      </c>
      <c r="I24" s="89" t="s">
        <v>100</v>
      </c>
      <c r="J24" s="89"/>
      <c r="K24" s="89"/>
      <c r="L24" s="99" t="s">
        <v>100</v>
      </c>
      <c r="M24" s="99" t="s">
        <v>100</v>
      </c>
      <c r="N24" s="99" t="s">
        <v>100</v>
      </c>
      <c r="O24" s="99" t="e">
        <f t="shared" si="0"/>
        <v>#DIV/0!</v>
      </c>
      <c r="P24" s="99" t="e">
        <f t="shared" si="1"/>
        <v>#DIV/0!</v>
      </c>
    </row>
    <row r="25" spans="1:16" ht="32.25" customHeight="1" hidden="1">
      <c r="A25" s="37" t="s">
        <v>23</v>
      </c>
      <c r="B25" s="89" t="s">
        <v>100</v>
      </c>
      <c r="C25" s="89" t="s">
        <v>100</v>
      </c>
      <c r="D25" s="89" t="s">
        <v>100</v>
      </c>
      <c r="E25" s="89"/>
      <c r="F25" s="89"/>
      <c r="G25" s="89" t="s">
        <v>100</v>
      </c>
      <c r="H25" s="89" t="s">
        <v>100</v>
      </c>
      <c r="I25" s="89" t="s">
        <v>100</v>
      </c>
      <c r="J25" s="89"/>
      <c r="K25" s="89"/>
      <c r="L25" s="99" t="s">
        <v>100</v>
      </c>
      <c r="M25" s="99" t="s">
        <v>100</v>
      </c>
      <c r="N25" s="99" t="s">
        <v>100</v>
      </c>
      <c r="O25" s="99" t="e">
        <f t="shared" si="0"/>
        <v>#DIV/0!</v>
      </c>
      <c r="P25" s="99" t="e">
        <f t="shared" si="1"/>
        <v>#DIV/0!</v>
      </c>
    </row>
    <row r="26" spans="1:16" ht="32.25" customHeight="1" hidden="1">
      <c r="A26" s="37" t="s">
        <v>127</v>
      </c>
      <c r="B26" s="89" t="s">
        <v>100</v>
      </c>
      <c r="C26" s="89" t="s">
        <v>100</v>
      </c>
      <c r="D26" s="89" t="s">
        <v>100</v>
      </c>
      <c r="E26" s="89"/>
      <c r="F26" s="89"/>
      <c r="G26" s="89" t="s">
        <v>100</v>
      </c>
      <c r="H26" s="89" t="s">
        <v>100</v>
      </c>
      <c r="I26" s="89" t="s">
        <v>100</v>
      </c>
      <c r="J26" s="89"/>
      <c r="K26" s="89"/>
      <c r="L26" s="99" t="s">
        <v>100</v>
      </c>
      <c r="M26" s="99" t="s">
        <v>100</v>
      </c>
      <c r="N26" s="99" t="s">
        <v>100</v>
      </c>
      <c r="O26" s="99" t="e">
        <f t="shared" si="0"/>
        <v>#DIV/0!</v>
      </c>
      <c r="P26" s="99" t="e">
        <f t="shared" si="1"/>
        <v>#DIV/0!</v>
      </c>
    </row>
    <row r="27" spans="1:16" ht="28.5" customHeight="1">
      <c r="A27" s="59" t="s">
        <v>89</v>
      </c>
      <c r="B27" s="91">
        <v>50</v>
      </c>
      <c r="C27" s="91">
        <v>33</v>
      </c>
      <c r="D27" s="91">
        <v>31</v>
      </c>
      <c r="E27" s="73">
        <v>50</v>
      </c>
      <c r="F27" s="87">
        <v>50</v>
      </c>
      <c r="G27" s="91">
        <v>110</v>
      </c>
      <c r="H27" s="91">
        <v>93</v>
      </c>
      <c r="I27" s="91">
        <v>90</v>
      </c>
      <c r="J27" s="73">
        <v>130</v>
      </c>
      <c r="K27" s="73">
        <v>100</v>
      </c>
      <c r="L27" s="99">
        <f aca="true" t="shared" si="5" ref="L27:N28">G27*170/B27</f>
        <v>374</v>
      </c>
      <c r="M27" s="99">
        <f t="shared" si="5"/>
        <v>479.09090909090907</v>
      </c>
      <c r="N27" s="99">
        <f t="shared" si="5"/>
        <v>493.5483870967742</v>
      </c>
      <c r="O27" s="99">
        <f t="shared" si="0"/>
        <v>442</v>
      </c>
      <c r="P27" s="99">
        <f t="shared" si="1"/>
        <v>340</v>
      </c>
    </row>
    <row r="28" spans="1:16" s="163" customFormat="1" ht="28.5" customHeight="1">
      <c r="A28" s="164" t="s">
        <v>45</v>
      </c>
      <c r="B28" s="161">
        <f aca="true" t="shared" si="6" ref="B28:I28">SUM(B5:B27)</f>
        <v>11977</v>
      </c>
      <c r="C28" s="161">
        <f t="shared" si="6"/>
        <v>11960</v>
      </c>
      <c r="D28" s="161">
        <f t="shared" si="6"/>
        <v>12819</v>
      </c>
      <c r="E28" s="161">
        <f t="shared" si="6"/>
        <v>12292</v>
      </c>
      <c r="F28" s="161">
        <v>10826.4</v>
      </c>
      <c r="G28" s="161">
        <f t="shared" si="6"/>
        <v>34220</v>
      </c>
      <c r="H28" s="161">
        <f t="shared" si="6"/>
        <v>35902</v>
      </c>
      <c r="I28" s="161">
        <f t="shared" si="6"/>
        <v>34805</v>
      </c>
      <c r="J28" s="161">
        <f>SUM(J5:J27)</f>
        <v>30005</v>
      </c>
      <c r="K28" s="161">
        <v>32577.405882352945</v>
      </c>
      <c r="L28" s="162">
        <f t="shared" si="5"/>
        <v>485.7142857142857</v>
      </c>
      <c r="M28" s="162">
        <f t="shared" si="5"/>
        <v>510.31270903010034</v>
      </c>
      <c r="N28" s="162">
        <f t="shared" si="5"/>
        <v>461.5687651142835</v>
      </c>
      <c r="O28" s="162">
        <f t="shared" si="0"/>
        <v>414.9731532704198</v>
      </c>
      <c r="P28" s="162">
        <f t="shared" si="1"/>
        <v>511.54206384393717</v>
      </c>
    </row>
    <row r="29" spans="1:11" ht="28.5" customHeight="1">
      <c r="A29" s="39" t="s">
        <v>102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8">
      <c r="A30" s="58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0:11" ht="18">
      <c r="J31" s="34"/>
      <c r="K31" s="34"/>
    </row>
    <row r="33" spans="2:11" ht="18">
      <c r="B33" s="105"/>
      <c r="C33" s="105"/>
      <c r="D33" s="105"/>
      <c r="E33" s="105"/>
      <c r="F33" s="105"/>
      <c r="G33" s="105"/>
      <c r="H33" s="105"/>
      <c r="I33" s="105"/>
      <c r="J33" s="105"/>
      <c r="K33" s="105"/>
    </row>
    <row r="34" spans="2:11" ht="18"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</sheetData>
  <sheetProtection/>
  <mergeCells count="5">
    <mergeCell ref="A1:P1"/>
    <mergeCell ref="A3:A4"/>
    <mergeCell ref="L3:P3"/>
    <mergeCell ref="G3:K3"/>
    <mergeCell ref="B3:F3"/>
  </mergeCells>
  <printOptions horizontalCentered="1" verticalCentered="1"/>
  <pageMargins left="0.196850393700787" right="0.196850393700787" top="0.196850393700787" bottom="0.196850393700787" header="0.511811023622047" footer="0.511811023622047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P17"/>
  <sheetViews>
    <sheetView view="pageBreakPreview" zoomScale="55" zoomScaleNormal="75" zoomScaleSheetLayoutView="55" zoomScalePageLayoutView="0" workbookViewId="0" topLeftCell="A1">
      <pane xSplit="1" ySplit="3" topLeftCell="B4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A14" sqref="A14"/>
    </sheetView>
  </sheetViews>
  <sheetFormatPr defaultColWidth="9.140625" defaultRowHeight="12.75"/>
  <cols>
    <col min="1" max="1" width="22.7109375" style="33" customWidth="1"/>
    <col min="2" max="16" width="14.57421875" style="33" customWidth="1"/>
    <col min="17" max="16384" width="9.140625" style="33" customWidth="1"/>
  </cols>
  <sheetData>
    <row r="1" spans="1:16" ht="31.5" customHeight="1">
      <c r="A1" s="223" t="s">
        <v>140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40.5" customHeight="1">
      <c r="A2" s="221" t="s">
        <v>0</v>
      </c>
      <c r="B2" s="185" t="s">
        <v>81</v>
      </c>
      <c r="C2" s="186"/>
      <c r="D2" s="186"/>
      <c r="E2" s="186"/>
      <c r="F2" s="187"/>
      <c r="G2" s="224" t="s">
        <v>119</v>
      </c>
      <c r="H2" s="225"/>
      <c r="I2" s="225"/>
      <c r="J2" s="225"/>
      <c r="K2" s="226"/>
      <c r="L2" s="185" t="s">
        <v>79</v>
      </c>
      <c r="M2" s="186"/>
      <c r="N2" s="186"/>
      <c r="O2" s="186"/>
      <c r="P2" s="187"/>
    </row>
    <row r="3" spans="1:16" s="36" customFormat="1" ht="38.25" customHeight="1">
      <c r="A3" s="221"/>
      <c r="B3" s="159" t="s">
        <v>112</v>
      </c>
      <c r="C3" s="159" t="s">
        <v>113</v>
      </c>
      <c r="D3" s="159" t="s">
        <v>115</v>
      </c>
      <c r="E3" s="159" t="s">
        <v>121</v>
      </c>
      <c r="F3" s="159" t="s">
        <v>122</v>
      </c>
      <c r="G3" s="159" t="s">
        <v>112</v>
      </c>
      <c r="H3" s="159" t="s">
        <v>113</v>
      </c>
      <c r="I3" s="159" t="s">
        <v>115</v>
      </c>
      <c r="J3" s="159" t="s">
        <v>121</v>
      </c>
      <c r="K3" s="159" t="s">
        <v>122</v>
      </c>
      <c r="L3" s="159" t="s">
        <v>112</v>
      </c>
      <c r="M3" s="159" t="s">
        <v>113</v>
      </c>
      <c r="N3" s="159" t="s">
        <v>115</v>
      </c>
      <c r="O3" s="159" t="s">
        <v>121</v>
      </c>
      <c r="P3" s="159" t="s">
        <v>122</v>
      </c>
    </row>
    <row r="4" spans="1:16" ht="57.75" customHeight="1">
      <c r="A4" s="41" t="s">
        <v>29</v>
      </c>
      <c r="B4" s="167">
        <v>65.09</v>
      </c>
      <c r="C4" s="167">
        <v>69.82</v>
      </c>
      <c r="D4" s="167">
        <v>70.4</v>
      </c>
      <c r="E4" s="168">
        <v>72.128</v>
      </c>
      <c r="F4" s="168">
        <v>75.14</v>
      </c>
      <c r="G4" s="167">
        <v>558</v>
      </c>
      <c r="H4" s="167">
        <v>717.26</v>
      </c>
      <c r="I4" s="169">
        <v>767.55</v>
      </c>
      <c r="J4" s="168">
        <v>865.805</v>
      </c>
      <c r="K4" s="168">
        <v>802.747</v>
      </c>
      <c r="L4" s="170">
        <f aca="true" t="shared" si="0" ref="L4:P5">G4/B4*180</f>
        <v>1543.0941772929789</v>
      </c>
      <c r="M4" s="170">
        <f t="shared" si="0"/>
        <v>1849.137782870238</v>
      </c>
      <c r="N4" s="170">
        <f t="shared" si="0"/>
        <v>1962.485795454545</v>
      </c>
      <c r="O4" s="170">
        <f t="shared" si="0"/>
        <v>2160.6713065661047</v>
      </c>
      <c r="P4" s="170">
        <f t="shared" si="0"/>
        <v>1923.003194037796</v>
      </c>
    </row>
    <row r="5" spans="1:16" ht="57.75" customHeight="1">
      <c r="A5" s="41" t="s">
        <v>41</v>
      </c>
      <c r="B5" s="167">
        <v>123.05</v>
      </c>
      <c r="C5" s="167">
        <v>104.88</v>
      </c>
      <c r="D5" s="167">
        <v>94.8</v>
      </c>
      <c r="E5" s="168">
        <v>93.909</v>
      </c>
      <c r="F5" s="168">
        <v>91.38</v>
      </c>
      <c r="G5" s="167">
        <v>1490.24</v>
      </c>
      <c r="H5" s="167">
        <v>1498.08</v>
      </c>
      <c r="I5" s="169">
        <v>1418.71</v>
      </c>
      <c r="J5" s="168">
        <v>1308</v>
      </c>
      <c r="K5" s="168">
        <v>1356</v>
      </c>
      <c r="L5" s="170">
        <f t="shared" si="0"/>
        <v>2179.952864689151</v>
      </c>
      <c r="M5" s="170">
        <f t="shared" si="0"/>
        <v>2571.075514874142</v>
      </c>
      <c r="N5" s="170">
        <f t="shared" si="0"/>
        <v>2693.753164556962</v>
      </c>
      <c r="O5" s="170">
        <f t="shared" si="0"/>
        <v>2507.1079449254066</v>
      </c>
      <c r="P5" s="170">
        <f t="shared" si="0"/>
        <v>2671.0439921208144</v>
      </c>
    </row>
    <row r="6" spans="1:16" ht="57.75" customHeight="1">
      <c r="A6" s="41" t="s">
        <v>13</v>
      </c>
      <c r="B6" s="167">
        <v>2.5</v>
      </c>
      <c r="C6" s="167">
        <v>2.9</v>
      </c>
      <c r="D6" s="167">
        <v>6</v>
      </c>
      <c r="E6" s="168">
        <v>6</v>
      </c>
      <c r="F6" s="168">
        <v>6</v>
      </c>
      <c r="G6" s="167">
        <v>0.9</v>
      </c>
      <c r="H6" s="167">
        <v>1.3</v>
      </c>
      <c r="I6" s="169">
        <v>3</v>
      </c>
      <c r="J6" s="168">
        <v>5</v>
      </c>
      <c r="K6" s="168">
        <v>5</v>
      </c>
      <c r="L6" s="170">
        <f aca="true" t="shared" si="1" ref="L6:N12">G6/B6*180</f>
        <v>64.8</v>
      </c>
      <c r="M6" s="170">
        <f t="shared" si="1"/>
        <v>80.6896551724138</v>
      </c>
      <c r="N6" s="170">
        <f t="shared" si="1"/>
        <v>90</v>
      </c>
      <c r="O6" s="170">
        <f aca="true" t="shared" si="2" ref="O6:O12">J6/E6*180</f>
        <v>150</v>
      </c>
      <c r="P6" s="170">
        <f aca="true" t="shared" si="3" ref="P6:P12">K6/F6*180</f>
        <v>150</v>
      </c>
    </row>
    <row r="7" spans="1:16" ht="57.75" customHeight="1">
      <c r="A7" s="41" t="s">
        <v>38</v>
      </c>
      <c r="B7" s="167">
        <v>3.89</v>
      </c>
      <c r="C7" s="167">
        <v>6.39</v>
      </c>
      <c r="D7" s="167">
        <v>6.59</v>
      </c>
      <c r="E7" s="168">
        <v>6.659</v>
      </c>
      <c r="F7" s="168">
        <v>6.67</v>
      </c>
      <c r="G7" s="167">
        <v>34.75</v>
      </c>
      <c r="H7" s="167">
        <v>63.92</v>
      </c>
      <c r="I7" s="169">
        <v>66.26</v>
      </c>
      <c r="J7" s="168">
        <v>68.281</v>
      </c>
      <c r="K7" s="168">
        <v>68.37</v>
      </c>
      <c r="L7" s="170">
        <f t="shared" si="1"/>
        <v>1607.969151670951</v>
      </c>
      <c r="M7" s="170">
        <f t="shared" si="1"/>
        <v>1800.5633802816901</v>
      </c>
      <c r="N7" s="170">
        <f t="shared" si="1"/>
        <v>1809.8330804248862</v>
      </c>
      <c r="O7" s="170">
        <f t="shared" si="2"/>
        <v>1845.7095660009013</v>
      </c>
      <c r="P7" s="170">
        <f t="shared" si="3"/>
        <v>1845.0674662668666</v>
      </c>
    </row>
    <row r="8" spans="1:16" ht="57.75" customHeight="1">
      <c r="A8" s="41" t="s">
        <v>15</v>
      </c>
      <c r="B8" s="167">
        <v>3.01</v>
      </c>
      <c r="C8" s="167">
        <v>3.03</v>
      </c>
      <c r="D8" s="167">
        <v>3.04</v>
      </c>
      <c r="E8" s="168">
        <v>3.06</v>
      </c>
      <c r="F8" s="168">
        <v>3.07</v>
      </c>
      <c r="G8" s="167">
        <v>5.73</v>
      </c>
      <c r="H8" s="167">
        <v>5.77</v>
      </c>
      <c r="I8" s="169">
        <v>5.79</v>
      </c>
      <c r="J8" s="168">
        <v>5.83</v>
      </c>
      <c r="K8" s="168">
        <v>5.85</v>
      </c>
      <c r="L8" s="170">
        <f t="shared" si="1"/>
        <v>342.6578073089702</v>
      </c>
      <c r="M8" s="170">
        <f t="shared" si="1"/>
        <v>342.7722772277228</v>
      </c>
      <c r="N8" s="170">
        <f t="shared" si="1"/>
        <v>342.82894736842104</v>
      </c>
      <c r="O8" s="170">
        <f t="shared" si="2"/>
        <v>342.94117647058823</v>
      </c>
      <c r="P8" s="170">
        <f t="shared" si="3"/>
        <v>342.99674267100977</v>
      </c>
    </row>
    <row r="9" spans="1:16" ht="57.75" customHeight="1">
      <c r="A9" s="41" t="s">
        <v>111</v>
      </c>
      <c r="B9" s="167">
        <v>1.78</v>
      </c>
      <c r="C9" s="167">
        <v>1.97</v>
      </c>
      <c r="D9" s="167">
        <v>1.06</v>
      </c>
      <c r="E9" s="168">
        <v>1.2</v>
      </c>
      <c r="F9" s="168">
        <v>0.75</v>
      </c>
      <c r="G9" s="167">
        <v>17.29</v>
      </c>
      <c r="H9" s="167">
        <v>19.81</v>
      </c>
      <c r="I9" s="169">
        <v>10.1</v>
      </c>
      <c r="J9" s="168">
        <v>14.54</v>
      </c>
      <c r="K9" s="168">
        <v>1.26</v>
      </c>
      <c r="L9" s="170">
        <f t="shared" si="1"/>
        <v>1748.4269662921345</v>
      </c>
      <c r="M9" s="170">
        <f t="shared" si="1"/>
        <v>1810.0507614213197</v>
      </c>
      <c r="N9" s="170">
        <f t="shared" si="1"/>
        <v>1715.0943396226414</v>
      </c>
      <c r="O9" s="170">
        <f t="shared" si="2"/>
        <v>2181</v>
      </c>
      <c r="P9" s="170">
        <f t="shared" si="3"/>
        <v>302.4</v>
      </c>
    </row>
    <row r="10" spans="1:16" ht="57.75" customHeight="1">
      <c r="A10" s="41" t="s">
        <v>53</v>
      </c>
      <c r="B10" s="167">
        <v>0.64</v>
      </c>
      <c r="C10" s="167">
        <v>0.64</v>
      </c>
      <c r="D10" s="167">
        <v>0.65</v>
      </c>
      <c r="E10" s="171">
        <v>0.65</v>
      </c>
      <c r="F10" s="171">
        <v>0.59</v>
      </c>
      <c r="G10" s="167">
        <v>5.26</v>
      </c>
      <c r="H10" s="167">
        <v>5.37</v>
      </c>
      <c r="I10" s="169">
        <v>5.56</v>
      </c>
      <c r="J10" s="171">
        <v>5.701</v>
      </c>
      <c r="K10" s="171">
        <v>5.369</v>
      </c>
      <c r="L10" s="170">
        <f t="shared" si="1"/>
        <v>1479.375</v>
      </c>
      <c r="M10" s="170">
        <f t="shared" si="1"/>
        <v>1510.3125</v>
      </c>
      <c r="N10" s="170">
        <f t="shared" si="1"/>
        <v>1539.6923076923076</v>
      </c>
      <c r="O10" s="170">
        <f t="shared" si="2"/>
        <v>1578.7384615384613</v>
      </c>
      <c r="P10" s="170">
        <f t="shared" si="3"/>
        <v>1638</v>
      </c>
    </row>
    <row r="11" spans="1:16" ht="57.75" customHeight="1">
      <c r="A11" s="41" t="s">
        <v>23</v>
      </c>
      <c r="B11" s="167">
        <v>576.71</v>
      </c>
      <c r="C11" s="167">
        <v>566.404</v>
      </c>
      <c r="D11" s="167">
        <v>567.22</v>
      </c>
      <c r="E11" s="168">
        <v>544.7</v>
      </c>
      <c r="F11" s="168">
        <v>522.47</v>
      </c>
      <c r="G11" s="167">
        <v>8228.16</v>
      </c>
      <c r="H11" s="167">
        <v>8771.764</v>
      </c>
      <c r="I11" s="169">
        <v>8341.21</v>
      </c>
      <c r="J11" s="168">
        <v>7667.066</v>
      </c>
      <c r="K11" s="168">
        <v>8187.658</v>
      </c>
      <c r="L11" s="170">
        <f t="shared" si="1"/>
        <v>2568.1344176449165</v>
      </c>
      <c r="M11" s="170">
        <f t="shared" si="1"/>
        <v>2787.6171778447892</v>
      </c>
      <c r="N11" s="170">
        <f t="shared" si="1"/>
        <v>2646.9761291914947</v>
      </c>
      <c r="O11" s="170">
        <f t="shared" si="2"/>
        <v>2533.636644024233</v>
      </c>
      <c r="P11" s="170">
        <f t="shared" si="3"/>
        <v>2820.7905525676115</v>
      </c>
    </row>
    <row r="12" spans="1:16" s="163" customFormat="1" ht="57.75" customHeight="1">
      <c r="A12" s="166" t="s">
        <v>45</v>
      </c>
      <c r="B12" s="172">
        <f aca="true" t="shared" si="4" ref="B12:J12">SUM(B4:B11)</f>
        <v>776.67</v>
      </c>
      <c r="C12" s="172">
        <f t="shared" si="4"/>
        <v>756.034</v>
      </c>
      <c r="D12" s="172">
        <f t="shared" si="4"/>
        <v>749.76</v>
      </c>
      <c r="E12" s="172">
        <f t="shared" si="4"/>
        <v>728.306</v>
      </c>
      <c r="F12" s="172">
        <v>706.0699999999999</v>
      </c>
      <c r="G12" s="172">
        <f t="shared" si="4"/>
        <v>10340.33</v>
      </c>
      <c r="H12" s="172">
        <f t="shared" si="4"/>
        <v>11083.274</v>
      </c>
      <c r="I12" s="172">
        <f t="shared" si="4"/>
        <v>10618.18</v>
      </c>
      <c r="J12" s="172">
        <f t="shared" si="4"/>
        <v>9940.223</v>
      </c>
      <c r="K12" s="172">
        <v>10432.254</v>
      </c>
      <c r="L12" s="173">
        <f t="shared" si="1"/>
        <v>2396.4610452315655</v>
      </c>
      <c r="M12" s="173">
        <f t="shared" si="1"/>
        <v>2638.756087689178</v>
      </c>
      <c r="N12" s="173">
        <f t="shared" si="1"/>
        <v>2549.1789372599233</v>
      </c>
      <c r="O12" s="173">
        <f t="shared" si="2"/>
        <v>2456.7148149266927</v>
      </c>
      <c r="P12" s="173">
        <f t="shared" si="3"/>
        <v>2659.517781523079</v>
      </c>
    </row>
    <row r="13" spans="1:11" ht="18">
      <c r="A13" s="39"/>
      <c r="B13" s="40"/>
      <c r="C13" s="40"/>
      <c r="D13" s="40"/>
      <c r="E13" s="40"/>
      <c r="F13" s="40"/>
      <c r="G13" s="40"/>
      <c r="H13" s="40"/>
      <c r="I13" s="42"/>
      <c r="J13" s="42"/>
      <c r="K13" s="42"/>
    </row>
    <row r="14" ht="18">
      <c r="A14" s="58"/>
    </row>
    <row r="16" spans="2:11" ht="18"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2:11" ht="18"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</sheetData>
  <sheetProtection/>
  <mergeCells count="5">
    <mergeCell ref="B2:F2"/>
    <mergeCell ref="A2:A3"/>
    <mergeCell ref="L2:P2"/>
    <mergeCell ref="G2:K2"/>
    <mergeCell ref="A1:P1"/>
  </mergeCells>
  <printOptions horizontalCentered="1"/>
  <pageMargins left="0.236220472440945" right="0.236220472440945" top="0.748031496062992" bottom="0.511811023622047" header="0.511811023622047" footer="0.511811023622047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P26"/>
  <sheetViews>
    <sheetView view="pageBreakPreview" zoomScale="69" zoomScaleNormal="75" zoomScaleSheetLayoutView="69" zoomScalePageLayoutView="0" workbookViewId="0" topLeftCell="A1">
      <pane xSplit="1" ySplit="3" topLeftCell="B4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P12" sqref="P12"/>
    </sheetView>
  </sheetViews>
  <sheetFormatPr defaultColWidth="9.140625" defaultRowHeight="12.75"/>
  <cols>
    <col min="1" max="1" width="20.421875" style="43" customWidth="1"/>
    <col min="2" max="3" width="10.7109375" style="43" customWidth="1"/>
    <col min="4" max="6" width="11.57421875" style="43" customWidth="1"/>
    <col min="7" max="8" width="10.421875" style="43" customWidth="1"/>
    <col min="9" max="11" width="12.28125" style="43" customWidth="1"/>
    <col min="12" max="12" width="10.421875" style="43" customWidth="1"/>
    <col min="13" max="13" width="10.57421875" style="43" bestFit="1" customWidth="1"/>
    <col min="14" max="14" width="13.28125" style="43" customWidth="1"/>
    <col min="15" max="16" width="13.28125" style="46" customWidth="1"/>
    <col min="17" max="16384" width="9.140625" style="43" customWidth="1"/>
  </cols>
  <sheetData>
    <row r="1" spans="1:16" ht="27.75" customHeight="1">
      <c r="A1" s="223" t="s">
        <v>141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40.5" customHeight="1">
      <c r="A2" s="227" t="s">
        <v>0</v>
      </c>
      <c r="B2" s="185" t="s">
        <v>81</v>
      </c>
      <c r="C2" s="186"/>
      <c r="D2" s="186"/>
      <c r="E2" s="186"/>
      <c r="F2" s="187"/>
      <c r="G2" s="224" t="s">
        <v>119</v>
      </c>
      <c r="H2" s="225"/>
      <c r="I2" s="225"/>
      <c r="J2" s="225"/>
      <c r="K2" s="226"/>
      <c r="L2" s="184" t="s">
        <v>79</v>
      </c>
      <c r="M2" s="184"/>
      <c r="N2" s="184"/>
      <c r="O2" s="184"/>
      <c r="P2" s="184"/>
    </row>
    <row r="3" spans="1:16" s="46" customFormat="1" ht="40.5" customHeight="1">
      <c r="A3" s="227"/>
      <c r="B3" s="158" t="s">
        <v>112</v>
      </c>
      <c r="C3" s="158" t="s">
        <v>113</v>
      </c>
      <c r="D3" s="158" t="s">
        <v>115</v>
      </c>
      <c r="E3" s="158" t="s">
        <v>121</v>
      </c>
      <c r="F3" s="158" t="s">
        <v>122</v>
      </c>
      <c r="G3" s="158" t="s">
        <v>112</v>
      </c>
      <c r="H3" s="158" t="s">
        <v>113</v>
      </c>
      <c r="I3" s="158" t="s">
        <v>115</v>
      </c>
      <c r="J3" s="158" t="s">
        <v>121</v>
      </c>
      <c r="K3" s="158" t="s">
        <v>122</v>
      </c>
      <c r="L3" s="158" t="s">
        <v>112</v>
      </c>
      <c r="M3" s="158" t="s">
        <v>113</v>
      </c>
      <c r="N3" s="158" t="s">
        <v>115</v>
      </c>
      <c r="O3" s="158" t="s">
        <v>121</v>
      </c>
      <c r="P3" s="158" t="s">
        <v>122</v>
      </c>
    </row>
    <row r="4" spans="1:16" ht="36.75" customHeight="1">
      <c r="A4" s="47" t="s">
        <v>1</v>
      </c>
      <c r="B4" s="167">
        <v>15</v>
      </c>
      <c r="C4" s="167">
        <v>9</v>
      </c>
      <c r="D4" s="167">
        <v>7</v>
      </c>
      <c r="E4" s="171">
        <v>5</v>
      </c>
      <c r="F4" s="171">
        <v>7</v>
      </c>
      <c r="G4" s="167">
        <v>127</v>
      </c>
      <c r="H4" s="167">
        <v>83.01</v>
      </c>
      <c r="I4" s="167">
        <v>50</v>
      </c>
      <c r="J4" s="171">
        <v>44</v>
      </c>
      <c r="K4" s="171">
        <v>63</v>
      </c>
      <c r="L4" s="170">
        <f aca="true" t="shared" si="0" ref="L4:P5">G4*180/B4</f>
        <v>1524</v>
      </c>
      <c r="M4" s="170">
        <f t="shared" si="0"/>
        <v>1660.2</v>
      </c>
      <c r="N4" s="170">
        <f t="shared" si="0"/>
        <v>1285.7142857142858</v>
      </c>
      <c r="O4" s="170">
        <f t="shared" si="0"/>
        <v>1584</v>
      </c>
      <c r="P4" s="170">
        <f t="shared" si="0"/>
        <v>1620</v>
      </c>
    </row>
    <row r="5" spans="1:16" ht="36.75" customHeight="1">
      <c r="A5" s="47" t="s">
        <v>33</v>
      </c>
      <c r="B5" s="167">
        <v>0</v>
      </c>
      <c r="C5" s="167">
        <v>0</v>
      </c>
      <c r="D5" s="167">
        <v>0.27</v>
      </c>
      <c r="E5" s="171">
        <v>0</v>
      </c>
      <c r="F5" s="171">
        <v>0.266</v>
      </c>
      <c r="G5" s="167">
        <v>0</v>
      </c>
      <c r="H5" s="167">
        <v>0</v>
      </c>
      <c r="I5" s="167">
        <v>0</v>
      </c>
      <c r="J5" s="171">
        <v>0</v>
      </c>
      <c r="K5" s="171">
        <v>0</v>
      </c>
      <c r="L5" s="170">
        <v>0</v>
      </c>
      <c r="M5" s="170">
        <v>0</v>
      </c>
      <c r="N5" s="170">
        <f t="shared" si="0"/>
        <v>0</v>
      </c>
      <c r="O5" s="170">
        <v>0</v>
      </c>
      <c r="P5" s="170">
        <f t="shared" si="0"/>
        <v>0</v>
      </c>
    </row>
    <row r="6" spans="1:16" ht="36.75" customHeight="1">
      <c r="A6" s="47" t="s">
        <v>29</v>
      </c>
      <c r="B6" s="167">
        <v>4.48</v>
      </c>
      <c r="C6" s="167">
        <v>4.44</v>
      </c>
      <c r="D6" s="167">
        <v>4.6</v>
      </c>
      <c r="E6" s="171">
        <v>4.304</v>
      </c>
      <c r="F6" s="171">
        <v>3.544</v>
      </c>
      <c r="G6" s="167">
        <v>25.09</v>
      </c>
      <c r="H6" s="167">
        <v>29.29</v>
      </c>
      <c r="I6" s="167">
        <v>25.69</v>
      </c>
      <c r="J6" s="171">
        <v>28.259</v>
      </c>
      <c r="K6" s="171">
        <v>21.344</v>
      </c>
      <c r="L6" s="170">
        <f aca="true" t="shared" si="1" ref="L6:M8">G6*180/B6</f>
        <v>1008.080357142857</v>
      </c>
      <c r="M6" s="170">
        <f t="shared" si="1"/>
        <v>1187.4324324324323</v>
      </c>
      <c r="N6" s="170">
        <f aca="true" t="shared" si="2" ref="N6:O8">I6*180/D6</f>
        <v>1005.2608695652174</v>
      </c>
      <c r="O6" s="170">
        <f t="shared" si="2"/>
        <v>1181.835501858736</v>
      </c>
      <c r="P6" s="170">
        <f>K6*180/F6</f>
        <v>1084.0632054176072</v>
      </c>
    </row>
    <row r="7" spans="1:16" ht="36.75" customHeight="1">
      <c r="A7" s="47" t="s">
        <v>41</v>
      </c>
      <c r="B7" s="167">
        <v>17.61</v>
      </c>
      <c r="C7" s="167">
        <v>16.19</v>
      </c>
      <c r="D7" s="167">
        <v>16.37</v>
      </c>
      <c r="E7" s="171">
        <v>16.476</v>
      </c>
      <c r="F7" s="171">
        <v>16.323</v>
      </c>
      <c r="G7" s="167">
        <v>227.49</v>
      </c>
      <c r="H7" s="167">
        <v>247</v>
      </c>
      <c r="I7" s="167">
        <v>218.41</v>
      </c>
      <c r="J7" s="171">
        <v>322</v>
      </c>
      <c r="K7" s="171">
        <v>215</v>
      </c>
      <c r="L7" s="170">
        <f t="shared" si="1"/>
        <v>2325.2810902896085</v>
      </c>
      <c r="M7" s="170">
        <f t="shared" si="1"/>
        <v>2746.139592340951</v>
      </c>
      <c r="N7" s="170">
        <f t="shared" si="2"/>
        <v>2401.576053756872</v>
      </c>
      <c r="O7" s="170">
        <f t="shared" si="2"/>
        <v>3517.8441369264388</v>
      </c>
      <c r="P7" s="170">
        <f>K7*180/F7</f>
        <v>2370.887704466091</v>
      </c>
    </row>
    <row r="8" spans="1:16" ht="36.75" customHeight="1">
      <c r="A8" s="47" t="s">
        <v>6</v>
      </c>
      <c r="B8" s="167">
        <v>1.4</v>
      </c>
      <c r="C8" s="167">
        <v>1.2</v>
      </c>
      <c r="D8" s="167">
        <v>1.1</v>
      </c>
      <c r="E8" s="171">
        <v>1.2</v>
      </c>
      <c r="F8" s="171">
        <v>1.1</v>
      </c>
      <c r="G8" s="167">
        <v>2.6</v>
      </c>
      <c r="H8" s="167">
        <v>2.2</v>
      </c>
      <c r="I8" s="167">
        <v>2.1</v>
      </c>
      <c r="J8" s="171">
        <v>2.3</v>
      </c>
      <c r="K8" s="171">
        <v>1.9</v>
      </c>
      <c r="L8" s="170">
        <f t="shared" si="1"/>
        <v>334.28571428571433</v>
      </c>
      <c r="M8" s="170">
        <f t="shared" si="1"/>
        <v>330.00000000000006</v>
      </c>
      <c r="N8" s="170">
        <f t="shared" si="2"/>
        <v>343.6363636363636</v>
      </c>
      <c r="O8" s="170">
        <f t="shared" si="2"/>
        <v>344.99999999999994</v>
      </c>
      <c r="P8" s="170">
        <f>K8*180/F8</f>
        <v>310.9090909090909</v>
      </c>
    </row>
    <row r="9" spans="1:16" ht="36.75" customHeight="1">
      <c r="A9" s="47" t="s">
        <v>11</v>
      </c>
      <c r="B9" s="167">
        <v>0</v>
      </c>
      <c r="C9" s="167">
        <v>0</v>
      </c>
      <c r="D9" s="167">
        <v>1</v>
      </c>
      <c r="E9" s="167">
        <v>0</v>
      </c>
      <c r="F9" s="167">
        <v>0.1</v>
      </c>
      <c r="G9" s="167">
        <v>0</v>
      </c>
      <c r="H9" s="167">
        <v>0</v>
      </c>
      <c r="I9" s="167">
        <v>1</v>
      </c>
      <c r="J9" s="167">
        <v>0</v>
      </c>
      <c r="K9" s="167">
        <v>0.1</v>
      </c>
      <c r="L9" s="170">
        <v>0</v>
      </c>
      <c r="M9" s="170">
        <v>0</v>
      </c>
      <c r="N9" s="170">
        <f aca="true" t="shared" si="3" ref="N9:N19">I9*180/D9</f>
        <v>180</v>
      </c>
      <c r="O9" s="170">
        <v>0</v>
      </c>
      <c r="P9" s="170">
        <f aca="true" t="shared" si="4" ref="P9:P19">K9*180/F9</f>
        <v>180</v>
      </c>
    </row>
    <row r="10" spans="1:16" ht="36.75" customHeight="1">
      <c r="A10" s="47" t="s">
        <v>13</v>
      </c>
      <c r="B10" s="167">
        <v>0.4</v>
      </c>
      <c r="C10" s="167">
        <v>0.5</v>
      </c>
      <c r="D10" s="167">
        <v>2</v>
      </c>
      <c r="E10" s="171">
        <v>2</v>
      </c>
      <c r="F10" s="171">
        <v>2</v>
      </c>
      <c r="G10" s="167">
        <v>0.9</v>
      </c>
      <c r="H10" s="167">
        <v>1.2</v>
      </c>
      <c r="I10" s="167">
        <v>5.56</v>
      </c>
      <c r="J10" s="171">
        <v>1</v>
      </c>
      <c r="K10" s="171">
        <v>2</v>
      </c>
      <c r="L10" s="170">
        <f aca="true" t="shared" si="5" ref="L9:L19">G10*180/B10</f>
        <v>405</v>
      </c>
      <c r="M10" s="170">
        <f aca="true" t="shared" si="6" ref="M9:M19">H10*180/C10</f>
        <v>432</v>
      </c>
      <c r="N10" s="170">
        <f t="shared" si="3"/>
        <v>500.4</v>
      </c>
      <c r="O10" s="170">
        <f aca="true" t="shared" si="7" ref="O9:O19">J10*180/E10</f>
        <v>90</v>
      </c>
      <c r="P10" s="170">
        <f t="shared" si="4"/>
        <v>180</v>
      </c>
    </row>
    <row r="11" spans="1:16" ht="36.75" customHeight="1">
      <c r="A11" s="47" t="s">
        <v>14</v>
      </c>
      <c r="B11" s="167">
        <v>20</v>
      </c>
      <c r="C11" s="167">
        <v>22</v>
      </c>
      <c r="D11" s="167">
        <v>0</v>
      </c>
      <c r="E11" s="167">
        <v>0</v>
      </c>
      <c r="F11" s="167">
        <v>0</v>
      </c>
      <c r="G11" s="167">
        <v>31</v>
      </c>
      <c r="H11" s="167">
        <v>35</v>
      </c>
      <c r="I11" s="167">
        <v>0</v>
      </c>
      <c r="J11" s="167">
        <v>0</v>
      </c>
      <c r="K11" s="167">
        <v>0</v>
      </c>
      <c r="L11" s="170">
        <f t="shared" si="5"/>
        <v>279</v>
      </c>
      <c r="M11" s="170">
        <f t="shared" si="6"/>
        <v>286.3636363636364</v>
      </c>
      <c r="N11" s="170">
        <v>0</v>
      </c>
      <c r="O11" s="170">
        <v>0</v>
      </c>
      <c r="P11" s="170">
        <v>0</v>
      </c>
    </row>
    <row r="12" spans="1:16" ht="36.75" customHeight="1">
      <c r="A12" s="47" t="s">
        <v>38</v>
      </c>
      <c r="B12" s="167">
        <v>4.13</v>
      </c>
      <c r="C12" s="167">
        <v>4.45</v>
      </c>
      <c r="D12" s="167">
        <v>4.48</v>
      </c>
      <c r="E12" s="171">
        <v>4.469</v>
      </c>
      <c r="F12" s="171">
        <v>4.46</v>
      </c>
      <c r="G12" s="167">
        <v>18.46</v>
      </c>
      <c r="H12" s="167">
        <v>25.98</v>
      </c>
      <c r="I12" s="167">
        <v>26.24</v>
      </c>
      <c r="J12" s="171">
        <v>26.263</v>
      </c>
      <c r="K12" s="171">
        <v>26.3</v>
      </c>
      <c r="L12" s="170">
        <f t="shared" si="5"/>
        <v>804.5520581113802</v>
      </c>
      <c r="M12" s="170">
        <f t="shared" si="6"/>
        <v>1050.8764044943819</v>
      </c>
      <c r="N12" s="170">
        <f t="shared" si="3"/>
        <v>1054.2857142857142</v>
      </c>
      <c r="O12" s="170">
        <f t="shared" si="7"/>
        <v>1057.8071156858357</v>
      </c>
      <c r="P12" s="170">
        <f t="shared" si="4"/>
        <v>1061.4349775784754</v>
      </c>
    </row>
    <row r="13" spans="1:16" ht="36.75" customHeight="1">
      <c r="A13" s="47" t="s">
        <v>15</v>
      </c>
      <c r="B13" s="167">
        <v>1.81</v>
      </c>
      <c r="C13" s="167">
        <v>1.83</v>
      </c>
      <c r="D13" s="167">
        <v>1.84</v>
      </c>
      <c r="E13" s="171">
        <v>1.85</v>
      </c>
      <c r="F13" s="171">
        <v>1.88</v>
      </c>
      <c r="G13" s="167">
        <v>2</v>
      </c>
      <c r="H13" s="167">
        <v>2.03</v>
      </c>
      <c r="I13" s="167">
        <v>2.04</v>
      </c>
      <c r="J13" s="171">
        <v>2.05</v>
      </c>
      <c r="K13" s="171">
        <v>2.09</v>
      </c>
      <c r="L13" s="170">
        <f t="shared" si="5"/>
        <v>198.8950276243094</v>
      </c>
      <c r="M13" s="170">
        <f t="shared" si="6"/>
        <v>199.67213114754097</v>
      </c>
      <c r="N13" s="170">
        <f t="shared" si="3"/>
        <v>199.56521739130434</v>
      </c>
      <c r="O13" s="170">
        <f t="shared" si="7"/>
        <v>199.45945945945942</v>
      </c>
      <c r="P13" s="170">
        <f t="shared" si="4"/>
        <v>200.10638297872342</v>
      </c>
    </row>
    <row r="14" spans="1:16" ht="36.75" customHeight="1">
      <c r="A14" s="47" t="s">
        <v>111</v>
      </c>
      <c r="B14" s="167">
        <v>13.678</v>
      </c>
      <c r="C14" s="167">
        <v>12.73</v>
      </c>
      <c r="D14" s="167">
        <v>11.78</v>
      </c>
      <c r="E14" s="171">
        <v>8.69</v>
      </c>
      <c r="F14" s="171">
        <v>6.39</v>
      </c>
      <c r="G14" s="167">
        <v>66.49</v>
      </c>
      <c r="H14" s="167">
        <v>62.52</v>
      </c>
      <c r="I14" s="167">
        <v>58.25</v>
      </c>
      <c r="J14" s="171">
        <v>42.24</v>
      </c>
      <c r="K14" s="171">
        <v>31.52</v>
      </c>
      <c r="L14" s="170">
        <f t="shared" si="5"/>
        <v>874.996344494809</v>
      </c>
      <c r="M14" s="170">
        <f t="shared" si="6"/>
        <v>884.0219952867243</v>
      </c>
      <c r="N14" s="170">
        <f t="shared" si="3"/>
        <v>890.0679117147708</v>
      </c>
      <c r="O14" s="170">
        <f t="shared" si="7"/>
        <v>874.9367088607596</v>
      </c>
      <c r="P14" s="170">
        <f t="shared" si="4"/>
        <v>887.8873239436621</v>
      </c>
    </row>
    <row r="15" spans="1:16" ht="36.75" customHeight="1">
      <c r="A15" s="47" t="s">
        <v>19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</row>
    <row r="16" spans="1:16" ht="36.75" customHeight="1">
      <c r="A16" s="47" t="s">
        <v>116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1.01</v>
      </c>
      <c r="H16" s="167">
        <v>0.99</v>
      </c>
      <c r="I16" s="167">
        <v>1</v>
      </c>
      <c r="J16" s="167">
        <v>0</v>
      </c>
      <c r="K16" s="167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</row>
    <row r="17" spans="1:16" ht="36.75" customHeight="1">
      <c r="A17" s="47" t="s">
        <v>53</v>
      </c>
      <c r="B17" s="167">
        <v>0.641</v>
      </c>
      <c r="C17" s="167">
        <v>0.85</v>
      </c>
      <c r="D17" s="167">
        <v>0.63</v>
      </c>
      <c r="E17" s="171">
        <v>0.627</v>
      </c>
      <c r="F17" s="171">
        <v>0.583</v>
      </c>
      <c r="G17" s="167">
        <v>5.077</v>
      </c>
      <c r="H17" s="167">
        <v>7</v>
      </c>
      <c r="I17" s="167">
        <v>5.08</v>
      </c>
      <c r="J17" s="171">
        <v>5.53</v>
      </c>
      <c r="K17" s="171">
        <v>4.961</v>
      </c>
      <c r="L17" s="170">
        <f t="shared" si="5"/>
        <v>1425.6786271450858</v>
      </c>
      <c r="M17" s="170">
        <f t="shared" si="6"/>
        <v>1482.3529411764707</v>
      </c>
      <c r="N17" s="170">
        <f t="shared" si="3"/>
        <v>1451.4285714285713</v>
      </c>
      <c r="O17" s="170">
        <f t="shared" si="7"/>
        <v>1587.5598086124403</v>
      </c>
      <c r="P17" s="170">
        <f t="shared" si="4"/>
        <v>1531.6981132075473</v>
      </c>
    </row>
    <row r="18" spans="1:16" ht="36.75" customHeight="1">
      <c r="A18" s="47" t="s">
        <v>23</v>
      </c>
      <c r="B18" s="167">
        <v>6.7</v>
      </c>
      <c r="C18" s="167">
        <v>8.443</v>
      </c>
      <c r="D18" s="167">
        <v>8.88</v>
      </c>
      <c r="E18" s="171">
        <v>9.379</v>
      </c>
      <c r="F18" s="171">
        <v>13.695</v>
      </c>
      <c r="G18" s="167">
        <v>82.67</v>
      </c>
      <c r="H18" s="167">
        <v>110.666</v>
      </c>
      <c r="I18" s="167">
        <v>112.5</v>
      </c>
      <c r="J18" s="171">
        <v>109.716</v>
      </c>
      <c r="K18" s="171">
        <v>161.931</v>
      </c>
      <c r="L18" s="170">
        <f t="shared" si="5"/>
        <v>2220.9850746268658</v>
      </c>
      <c r="M18" s="170">
        <f t="shared" si="6"/>
        <v>2359.336728650954</v>
      </c>
      <c r="N18" s="170">
        <f t="shared" si="3"/>
        <v>2280.4054054054054</v>
      </c>
      <c r="O18" s="170">
        <f t="shared" si="7"/>
        <v>2105.648789849664</v>
      </c>
      <c r="P18" s="170">
        <f t="shared" si="4"/>
        <v>2128.3373493975905</v>
      </c>
    </row>
    <row r="19" spans="1:16" s="175" customFormat="1" ht="36.75" customHeight="1">
      <c r="A19" s="174" t="s">
        <v>103</v>
      </c>
      <c r="B19" s="176">
        <f aca="true" t="shared" si="8" ref="B19:J19">SUM(B4:B18)</f>
        <v>85.849</v>
      </c>
      <c r="C19" s="172">
        <f t="shared" si="8"/>
        <v>81.633</v>
      </c>
      <c r="D19" s="172">
        <f t="shared" si="8"/>
        <v>59.95000000000002</v>
      </c>
      <c r="E19" s="172">
        <f t="shared" si="8"/>
        <v>53.995</v>
      </c>
      <c r="F19" s="172">
        <v>57.34</v>
      </c>
      <c r="G19" s="172">
        <f t="shared" si="8"/>
        <v>589.787</v>
      </c>
      <c r="H19" s="172">
        <f t="shared" si="8"/>
        <v>606.886</v>
      </c>
      <c r="I19" s="172">
        <f t="shared" si="8"/>
        <v>507.87000000000006</v>
      </c>
      <c r="J19" s="172">
        <f t="shared" si="8"/>
        <v>583.358</v>
      </c>
      <c r="K19" s="172">
        <v>530.15</v>
      </c>
      <c r="L19" s="173">
        <f t="shared" si="5"/>
        <v>1236.609162599448</v>
      </c>
      <c r="M19" s="173">
        <f t="shared" si="6"/>
        <v>1338.1779427437434</v>
      </c>
      <c r="N19" s="173">
        <f t="shared" si="3"/>
        <v>1524.8807339449538</v>
      </c>
      <c r="O19" s="173">
        <f t="shared" si="7"/>
        <v>1944.7067321048244</v>
      </c>
      <c r="P19" s="173">
        <f t="shared" si="4"/>
        <v>1664.2309033833274</v>
      </c>
    </row>
    <row r="20" spans="1:11" ht="15.75">
      <c r="A20" s="92" t="s">
        <v>120</v>
      </c>
      <c r="B20" s="58"/>
      <c r="C20" s="49"/>
      <c r="D20" s="49"/>
      <c r="E20" s="71"/>
      <c r="F20" s="71"/>
      <c r="G20" s="49"/>
      <c r="H20" s="49"/>
      <c r="I20" s="49"/>
      <c r="J20" s="71"/>
      <c r="K20" s="71"/>
    </row>
    <row r="21" ht="15">
      <c r="A21" s="58"/>
    </row>
    <row r="25" spans="2:11" ht="15"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1" ht="15">
      <c r="B26" s="106"/>
      <c r="C26" s="106"/>
      <c r="D26" s="106"/>
      <c r="E26" s="106"/>
      <c r="F26" s="109"/>
      <c r="G26" s="106"/>
      <c r="H26" s="106"/>
      <c r="I26" s="106"/>
      <c r="J26" s="106"/>
      <c r="K26" s="106"/>
    </row>
  </sheetData>
  <sheetProtection/>
  <mergeCells count="5">
    <mergeCell ref="B2:F2"/>
    <mergeCell ref="A2:A3"/>
    <mergeCell ref="L2:P2"/>
    <mergeCell ref="G2:K2"/>
    <mergeCell ref="A1:P1"/>
  </mergeCells>
  <printOptions horizontalCentered="1" verticalCentered="1"/>
  <pageMargins left="0.511811023622047" right="0.511811023622047" top="0.748031496062992" bottom="0" header="0.511811023622047" footer="0.511811023622047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2:GT31"/>
  <sheetViews>
    <sheetView tabSelected="1" view="pageBreakPreview" zoomScale="55" zoomScaleNormal="75" zoomScaleSheetLayoutView="55" zoomScalePageLayoutView="0" workbookViewId="0" topLeftCell="A1">
      <pane xSplit="1" ySplit="5" topLeftCell="B6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Q7" sqref="Q7"/>
    </sheetView>
  </sheetViews>
  <sheetFormatPr defaultColWidth="9.140625" defaultRowHeight="12.75"/>
  <cols>
    <col min="1" max="1" width="24.28125" style="43" customWidth="1"/>
    <col min="2" max="4" width="11.7109375" style="43" customWidth="1"/>
    <col min="5" max="5" width="12.7109375" style="43" bestFit="1" customWidth="1"/>
    <col min="6" max="6" width="12.7109375" style="43" customWidth="1"/>
    <col min="7" max="8" width="11.7109375" style="43" customWidth="1"/>
    <col min="9" max="11" width="13.00390625" style="43" customWidth="1"/>
    <col min="12" max="12" width="11.7109375" style="43" customWidth="1"/>
    <col min="13" max="13" width="12.28125" style="43" customWidth="1"/>
    <col min="14" max="14" width="11.7109375" style="43" bestFit="1" customWidth="1"/>
    <col min="15" max="16" width="11.7109375" style="43" customWidth="1"/>
    <col min="17" max="16384" width="9.140625" style="43" customWidth="1"/>
  </cols>
  <sheetData>
    <row r="2" spans="1:16" ht="27" customHeight="1">
      <c r="A2" s="236" t="s">
        <v>104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1" ht="13.5" customHeight="1" hidden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6" ht="40.5" customHeight="1">
      <c r="A4" s="228" t="s">
        <v>0</v>
      </c>
      <c r="B4" s="233" t="s">
        <v>81</v>
      </c>
      <c r="C4" s="234"/>
      <c r="D4" s="234"/>
      <c r="E4" s="234"/>
      <c r="F4" s="235"/>
      <c r="G4" s="230" t="s">
        <v>119</v>
      </c>
      <c r="H4" s="231"/>
      <c r="I4" s="231"/>
      <c r="J4" s="231"/>
      <c r="K4" s="232"/>
      <c r="L4" s="229" t="s">
        <v>79</v>
      </c>
      <c r="M4" s="229"/>
      <c r="N4" s="229"/>
      <c r="O4" s="229"/>
      <c r="P4" s="229"/>
    </row>
    <row r="5" spans="1:202" s="46" customFormat="1" ht="40.5" customHeight="1">
      <c r="A5" s="228"/>
      <c r="B5" s="35" t="s">
        <v>112</v>
      </c>
      <c r="C5" s="35" t="s">
        <v>113</v>
      </c>
      <c r="D5" s="35" t="s">
        <v>115</v>
      </c>
      <c r="E5" s="35" t="s">
        <v>121</v>
      </c>
      <c r="F5" s="35" t="s">
        <v>122</v>
      </c>
      <c r="G5" s="35" t="s">
        <v>112</v>
      </c>
      <c r="H5" s="35" t="s">
        <v>113</v>
      </c>
      <c r="I5" s="35" t="s">
        <v>115</v>
      </c>
      <c r="J5" s="35" t="s">
        <v>121</v>
      </c>
      <c r="K5" s="68" t="s">
        <v>122</v>
      </c>
      <c r="L5" s="35" t="s">
        <v>112</v>
      </c>
      <c r="M5" s="35" t="s">
        <v>113</v>
      </c>
      <c r="N5" s="35" t="s">
        <v>115</v>
      </c>
      <c r="O5" s="35" t="s">
        <v>121</v>
      </c>
      <c r="P5" s="35" t="s">
        <v>122</v>
      </c>
      <c r="GT5" s="45" t="s">
        <v>84</v>
      </c>
    </row>
    <row r="6" spans="1:202" ht="39.75" customHeight="1">
      <c r="A6" s="111" t="s">
        <v>1</v>
      </c>
      <c r="B6" s="45">
        <f>'Mesta U'!B4</f>
        <v>15</v>
      </c>
      <c r="C6" s="45">
        <f>'Mesta U'!C4</f>
        <v>9</v>
      </c>
      <c r="D6" s="45">
        <f>'Mesta U'!D4</f>
        <v>7</v>
      </c>
      <c r="E6" s="45">
        <f>'Mesta U'!E4</f>
        <v>5</v>
      </c>
      <c r="F6" s="45">
        <f>'Mesta U'!F4</f>
        <v>7</v>
      </c>
      <c r="G6" s="45">
        <f>'Mesta U'!G4</f>
        <v>127</v>
      </c>
      <c r="H6" s="45">
        <f>'Mesta U'!H4</f>
        <v>83.01</v>
      </c>
      <c r="I6" s="45">
        <f>'Mesta U'!I4</f>
        <v>50</v>
      </c>
      <c r="J6" s="45">
        <f>'Mesta U'!J4</f>
        <v>44</v>
      </c>
      <c r="K6" s="45">
        <f>'Mesta U'!K4</f>
        <v>63</v>
      </c>
      <c r="L6" s="100">
        <f>G6*180/B6</f>
        <v>1524</v>
      </c>
      <c r="M6" s="100">
        <f>H6*180/C6</f>
        <v>1660.2</v>
      </c>
      <c r="N6" s="100">
        <f>I6*180/D6</f>
        <v>1285.7142857142858</v>
      </c>
      <c r="O6" s="100">
        <f>J6*180/E6</f>
        <v>1584</v>
      </c>
      <c r="P6" s="100">
        <f>K6*180/F6</f>
        <v>1620</v>
      </c>
      <c r="GT6" s="48"/>
    </row>
    <row r="7" spans="1:202" ht="39.75" customHeight="1">
      <c r="A7" s="111" t="s">
        <v>33</v>
      </c>
      <c r="B7" s="45">
        <f>'Mesta U'!B5</f>
        <v>0</v>
      </c>
      <c r="C7" s="45">
        <f>'Mesta U'!C5</f>
        <v>0</v>
      </c>
      <c r="D7" s="45">
        <f>'Mesta U'!D5</f>
        <v>0.27</v>
      </c>
      <c r="E7" s="45">
        <f>'Mesta U'!E5</f>
        <v>0</v>
      </c>
      <c r="F7" s="45">
        <f>'Mesta U'!F5</f>
        <v>0.266</v>
      </c>
      <c r="G7" s="45">
        <f>'Mesta U'!G5</f>
        <v>0</v>
      </c>
      <c r="H7" s="45">
        <f>'Mesta U'!H5</f>
        <v>0</v>
      </c>
      <c r="I7" s="45">
        <f>'Mesta U'!I5</f>
        <v>0</v>
      </c>
      <c r="J7" s="45">
        <f>'Mesta U'!J5</f>
        <v>0</v>
      </c>
      <c r="K7" s="45">
        <f>'Mesta U'!K5</f>
        <v>0</v>
      </c>
      <c r="L7" s="99" t="s">
        <v>101</v>
      </c>
      <c r="M7" s="99" t="s">
        <v>101</v>
      </c>
      <c r="N7" s="100">
        <f aca="true" t="shared" si="0" ref="N7:O10">I7*180/D7</f>
        <v>0</v>
      </c>
      <c r="O7" s="100">
        <v>0</v>
      </c>
      <c r="P7" s="100">
        <f aca="true" t="shared" si="1" ref="P7:P23">K7*180/F7</f>
        <v>0</v>
      </c>
      <c r="GT7" s="48" t="e">
        <f aca="true" t="shared" si="2" ref="GT7:GT22">GN7*180/GG7</f>
        <v>#DIV/0!</v>
      </c>
    </row>
    <row r="8" spans="1:202" ht="39.75" customHeight="1">
      <c r="A8" s="111" t="s">
        <v>29</v>
      </c>
      <c r="B8" s="45">
        <f>'Jute '!B4+'Mesta U'!B6</f>
        <v>69.57000000000001</v>
      </c>
      <c r="C8" s="45">
        <f>'Jute '!C4+'Mesta U'!C6</f>
        <v>74.25999999999999</v>
      </c>
      <c r="D8" s="45">
        <f>'Jute '!D4+'Mesta U'!D6</f>
        <v>75</v>
      </c>
      <c r="E8" s="45">
        <f>'Jute '!E4+'Mesta U'!E6</f>
        <v>76.432</v>
      </c>
      <c r="F8" s="45">
        <f>'Jute '!F4+'Mesta U'!F6</f>
        <v>78.684</v>
      </c>
      <c r="G8" s="45">
        <f>'Jute '!G4+'Mesta U'!G6</f>
        <v>583.09</v>
      </c>
      <c r="H8" s="45">
        <f>'Jute '!H4+'Mesta U'!H6</f>
        <v>746.55</v>
      </c>
      <c r="I8" s="45">
        <f>'Jute '!I4+'Mesta U'!I6</f>
        <v>793.24</v>
      </c>
      <c r="J8" s="45">
        <f>'Jute '!J4+'Mesta U'!J6</f>
        <v>894.064</v>
      </c>
      <c r="K8" s="45">
        <f>'Jute '!K4+'Mesta U'!K6</f>
        <v>824.091</v>
      </c>
      <c r="L8" s="100">
        <f aca="true" t="shared" si="3" ref="L8:M12">G8*180/B8</f>
        <v>1508.6416558861579</v>
      </c>
      <c r="M8" s="100">
        <f t="shared" si="3"/>
        <v>1809.5744680851067</v>
      </c>
      <c r="N8" s="100">
        <f t="shared" si="0"/>
        <v>1903.776</v>
      </c>
      <c r="O8" s="100">
        <f t="shared" si="0"/>
        <v>2105.551601423487</v>
      </c>
      <c r="P8" s="100">
        <f t="shared" si="1"/>
        <v>1885.2165624523411</v>
      </c>
      <c r="GT8" s="48" t="e">
        <f t="shared" si="2"/>
        <v>#DIV/0!</v>
      </c>
    </row>
    <row r="9" spans="1:202" ht="39.75" customHeight="1">
      <c r="A9" s="111" t="s">
        <v>41</v>
      </c>
      <c r="B9" s="45">
        <f>'Jute '!B5+'Mesta U'!B7</f>
        <v>140.66</v>
      </c>
      <c r="C9" s="45">
        <f>'Jute '!C5+'Mesta U'!C7</f>
        <v>121.07</v>
      </c>
      <c r="D9" s="45">
        <f>'Jute '!D5+'Mesta U'!D7</f>
        <v>111.17</v>
      </c>
      <c r="E9" s="45">
        <f>'Jute '!E5+'Mesta U'!E7</f>
        <v>110.385</v>
      </c>
      <c r="F9" s="45">
        <f>'Jute '!F5+'Mesta U'!F7</f>
        <v>107.703</v>
      </c>
      <c r="G9" s="45">
        <f>'Jute '!G5+'Mesta U'!G7</f>
        <v>1717.73</v>
      </c>
      <c r="H9" s="45">
        <f>'Jute '!H5+'Mesta U'!H7</f>
        <v>1745.08</v>
      </c>
      <c r="I9" s="45">
        <f>'Jute '!I5+'Mesta U'!I7</f>
        <v>1637.1200000000001</v>
      </c>
      <c r="J9" s="45">
        <f>'Jute '!J5+'Mesta U'!J7</f>
        <v>1630</v>
      </c>
      <c r="K9" s="45">
        <f>'Jute '!K5+'Mesta U'!K7</f>
        <v>1571</v>
      </c>
      <c r="L9" s="100">
        <f t="shared" si="3"/>
        <v>2198.147305559505</v>
      </c>
      <c r="M9" s="100">
        <f t="shared" si="3"/>
        <v>2594.4858346411165</v>
      </c>
      <c r="N9" s="100">
        <f t="shared" si="0"/>
        <v>2650.7295133579205</v>
      </c>
      <c r="O9" s="100">
        <f t="shared" si="0"/>
        <v>2657.969832857725</v>
      </c>
      <c r="P9" s="100">
        <f t="shared" si="1"/>
        <v>2625.5536057491436</v>
      </c>
      <c r="GT9" s="48" t="e">
        <f t="shared" si="2"/>
        <v>#DIV/0!</v>
      </c>
    </row>
    <row r="10" spans="1:202" ht="39.75" customHeight="1">
      <c r="A10" s="111" t="s">
        <v>6</v>
      </c>
      <c r="B10" s="45">
        <f>'Mesta U'!B8</f>
        <v>1.4</v>
      </c>
      <c r="C10" s="45">
        <f>'Mesta U'!C8</f>
        <v>1.2</v>
      </c>
      <c r="D10" s="45">
        <f>'Mesta U'!D8</f>
        <v>1.1</v>
      </c>
      <c r="E10" s="45">
        <f>'Mesta U'!E8</f>
        <v>1.2</v>
      </c>
      <c r="F10" s="45">
        <f>'Mesta U'!F8</f>
        <v>1.1</v>
      </c>
      <c r="G10" s="45">
        <f>'Mesta U'!G8</f>
        <v>2.6</v>
      </c>
      <c r="H10" s="45">
        <f>'Mesta U'!H8</f>
        <v>2.2</v>
      </c>
      <c r="I10" s="45">
        <f>'Mesta U'!I8</f>
        <v>2.1</v>
      </c>
      <c r="J10" s="45">
        <f>'Mesta U'!J8</f>
        <v>2.3</v>
      </c>
      <c r="K10" s="45">
        <f>'Mesta U'!K8</f>
        <v>1.9</v>
      </c>
      <c r="L10" s="100">
        <f t="shared" si="3"/>
        <v>334.28571428571433</v>
      </c>
      <c r="M10" s="100">
        <f t="shared" si="3"/>
        <v>330.00000000000006</v>
      </c>
      <c r="N10" s="100">
        <f t="shared" si="0"/>
        <v>343.6363636363636</v>
      </c>
      <c r="O10" s="100">
        <f t="shared" si="0"/>
        <v>344.99999999999994</v>
      </c>
      <c r="P10" s="100">
        <f t="shared" si="1"/>
        <v>310.9090909090909</v>
      </c>
      <c r="GT10" s="48" t="e">
        <f t="shared" si="2"/>
        <v>#DIV/0!</v>
      </c>
    </row>
    <row r="11" spans="1:202" ht="39.75" customHeight="1" hidden="1">
      <c r="A11" s="111" t="s">
        <v>51</v>
      </c>
      <c r="B11" s="45" t="s">
        <v>101</v>
      </c>
      <c r="C11" s="45" t="s">
        <v>101</v>
      </c>
      <c r="D11" s="45" t="s">
        <v>101</v>
      </c>
      <c r="E11" s="45"/>
      <c r="F11" s="45"/>
      <c r="G11" s="45" t="s">
        <v>101</v>
      </c>
      <c r="H11" s="45" t="s">
        <v>101</v>
      </c>
      <c r="I11" s="45" t="s">
        <v>101</v>
      </c>
      <c r="J11" s="45"/>
      <c r="K11" s="45"/>
      <c r="L11" s="100" t="e">
        <f t="shared" si="3"/>
        <v>#VALUE!</v>
      </c>
      <c r="M11" s="99" t="s">
        <v>101</v>
      </c>
      <c r="N11" s="99" t="s">
        <v>101</v>
      </c>
      <c r="O11" s="100" t="e">
        <f aca="true" t="shared" si="4" ref="O11:O23">J11*180/E11</f>
        <v>#DIV/0!</v>
      </c>
      <c r="P11" s="100" t="e">
        <f t="shared" si="1"/>
        <v>#DIV/0!</v>
      </c>
      <c r="GT11" s="48" t="e">
        <f t="shared" si="2"/>
        <v>#DIV/0!</v>
      </c>
    </row>
    <row r="12" spans="1:202" ht="39.75" customHeight="1">
      <c r="A12" s="111" t="s">
        <v>11</v>
      </c>
      <c r="B12" s="45">
        <f>'Mesta U'!B9</f>
        <v>0</v>
      </c>
      <c r="C12" s="45">
        <f>'Mesta U'!C9</f>
        <v>0</v>
      </c>
      <c r="D12" s="45">
        <f>'Mesta U'!D9</f>
        <v>1</v>
      </c>
      <c r="E12" s="45">
        <f>'Mesta U'!E9</f>
        <v>0</v>
      </c>
      <c r="F12" s="45">
        <f>'Mesta U'!F9</f>
        <v>0.1</v>
      </c>
      <c r="G12" s="45">
        <f>'Mesta U'!G9</f>
        <v>0</v>
      </c>
      <c r="H12" s="45">
        <f>'Mesta U'!H9</f>
        <v>0</v>
      </c>
      <c r="I12" s="45">
        <f>'Mesta U'!I9</f>
        <v>1</v>
      </c>
      <c r="J12" s="45">
        <f>'Mesta U'!J9</f>
        <v>0</v>
      </c>
      <c r="K12" s="45">
        <f>'Mesta U'!K9</f>
        <v>0.1</v>
      </c>
      <c r="L12" s="100">
        <v>0</v>
      </c>
      <c r="M12" s="100">
        <v>0</v>
      </c>
      <c r="N12" s="100">
        <f aca="true" t="shared" si="5" ref="L12:N13">I12*180/D12</f>
        <v>180</v>
      </c>
      <c r="O12" s="100">
        <v>0</v>
      </c>
      <c r="P12" s="100">
        <f t="shared" si="1"/>
        <v>180</v>
      </c>
      <c r="GT12" s="48" t="e">
        <f t="shared" si="2"/>
        <v>#DIV/0!</v>
      </c>
    </row>
    <row r="13" spans="1:202" ht="39.75" customHeight="1">
      <c r="A13" s="111" t="s">
        <v>13</v>
      </c>
      <c r="B13" s="45">
        <f>'Jute '!B6+'Mesta U'!B10</f>
        <v>2.9</v>
      </c>
      <c r="C13" s="45">
        <f>'Jute '!C6+'Mesta U'!C10</f>
        <v>3.4</v>
      </c>
      <c r="D13" s="45">
        <f>'Jute '!D6+'Mesta U'!D10</f>
        <v>8</v>
      </c>
      <c r="E13" s="45">
        <f>'Jute '!E6+'Mesta U'!E10</f>
        <v>8</v>
      </c>
      <c r="F13" s="45">
        <f>'Jute '!F6+'Mesta U'!F10</f>
        <v>8</v>
      </c>
      <c r="G13" s="45">
        <f>'Jute '!G6+'Mesta U'!G10</f>
        <v>1.8</v>
      </c>
      <c r="H13" s="45">
        <f>'Jute '!H6+'Mesta U'!H10</f>
        <v>2.5</v>
      </c>
      <c r="I13" s="45">
        <f>'Jute '!I6+'Mesta U'!I10</f>
        <v>8.559999999999999</v>
      </c>
      <c r="J13" s="45">
        <f>'Jute '!J6+'Mesta U'!J10</f>
        <v>6</v>
      </c>
      <c r="K13" s="45">
        <f>'Jute '!K6+'Mesta U'!K10</f>
        <v>7</v>
      </c>
      <c r="L13" s="100">
        <f t="shared" si="5"/>
        <v>111.72413793103449</v>
      </c>
      <c r="M13" s="100">
        <f t="shared" si="5"/>
        <v>132.35294117647058</v>
      </c>
      <c r="N13" s="100">
        <f t="shared" si="5"/>
        <v>192.59999999999997</v>
      </c>
      <c r="O13" s="100">
        <f t="shared" si="4"/>
        <v>135</v>
      </c>
      <c r="P13" s="100">
        <f t="shared" si="1"/>
        <v>157.5</v>
      </c>
      <c r="GT13" s="48" t="e">
        <f t="shared" si="2"/>
        <v>#DIV/0!</v>
      </c>
    </row>
    <row r="14" spans="1:202" ht="39.75" customHeight="1">
      <c r="A14" s="111" t="s">
        <v>14</v>
      </c>
      <c r="B14" s="45">
        <f>'Mesta U'!B11</f>
        <v>20</v>
      </c>
      <c r="C14" s="45">
        <f>'Mesta U'!C11</f>
        <v>22</v>
      </c>
      <c r="D14" s="45">
        <f>'Mesta U'!D11</f>
        <v>0</v>
      </c>
      <c r="E14" s="45">
        <f>'Mesta U'!E11</f>
        <v>0</v>
      </c>
      <c r="F14" s="45">
        <f>'Mesta U'!F11</f>
        <v>0</v>
      </c>
      <c r="G14" s="45">
        <f>'Mesta U'!G11</f>
        <v>31</v>
      </c>
      <c r="H14" s="45">
        <f>'Mesta U'!H11</f>
        <v>35</v>
      </c>
      <c r="I14" s="45">
        <f>'Mesta U'!I11</f>
        <v>0</v>
      </c>
      <c r="J14" s="45">
        <f>'Mesta U'!J11</f>
        <v>0</v>
      </c>
      <c r="K14" s="45">
        <f>'Mesta U'!K11</f>
        <v>0</v>
      </c>
      <c r="L14" s="100">
        <f aca="true" t="shared" si="6" ref="L14:M17">G14*180/B14</f>
        <v>279</v>
      </c>
      <c r="M14" s="100">
        <f t="shared" si="6"/>
        <v>286.3636363636364</v>
      </c>
      <c r="N14" s="99" t="s">
        <v>101</v>
      </c>
      <c r="O14" s="100">
        <v>0</v>
      </c>
      <c r="P14" s="100">
        <v>0</v>
      </c>
      <c r="GT14" s="48" t="e">
        <f t="shared" si="2"/>
        <v>#DIV/0!</v>
      </c>
    </row>
    <row r="15" spans="1:202" ht="39.75" customHeight="1">
      <c r="A15" s="111" t="s">
        <v>38</v>
      </c>
      <c r="B15" s="45">
        <f>'Jute '!B7+'Mesta U'!B12</f>
        <v>8.02</v>
      </c>
      <c r="C15" s="45">
        <f>'Jute '!C7+'Mesta U'!C12</f>
        <v>10.84</v>
      </c>
      <c r="D15" s="45">
        <f>'Jute '!D7+'Mesta U'!D12</f>
        <v>11.07</v>
      </c>
      <c r="E15" s="45">
        <f>'Jute '!E7+'Mesta U'!E12</f>
        <v>11.128</v>
      </c>
      <c r="F15" s="45">
        <f>'Jute '!F7+'Mesta U'!F12</f>
        <v>11.129999999999999</v>
      </c>
      <c r="G15" s="45">
        <f>'Jute '!G7+'Mesta U'!G12</f>
        <v>53.21</v>
      </c>
      <c r="H15" s="45">
        <f>'Jute '!H7+'Mesta U'!H12</f>
        <v>89.9</v>
      </c>
      <c r="I15" s="45">
        <f>'Jute '!I7+'Mesta U'!I12</f>
        <v>92.5</v>
      </c>
      <c r="J15" s="45">
        <f>'Jute '!J7+'Mesta U'!J12</f>
        <v>94.54400000000001</v>
      </c>
      <c r="K15" s="45">
        <f>'Jute '!K7+'Mesta U'!K12</f>
        <v>94.67</v>
      </c>
      <c r="L15" s="100">
        <f t="shared" si="6"/>
        <v>1194.2394014962592</v>
      </c>
      <c r="M15" s="100">
        <f t="shared" si="6"/>
        <v>1492.8044280442807</v>
      </c>
      <c r="N15" s="100">
        <f>I15*180/D15</f>
        <v>1504.0650406504064</v>
      </c>
      <c r="O15" s="100">
        <f t="shared" si="4"/>
        <v>1529.2882818116464</v>
      </c>
      <c r="P15" s="100">
        <f t="shared" si="1"/>
        <v>1531.0512129380054</v>
      </c>
      <c r="GT15" s="48" t="e">
        <f t="shared" si="2"/>
        <v>#DIV/0!</v>
      </c>
    </row>
    <row r="16" spans="1:202" ht="39.75" customHeight="1">
      <c r="A16" s="111" t="s">
        <v>15</v>
      </c>
      <c r="B16" s="45">
        <f>'Jute '!B8+'Mesta U'!B13</f>
        <v>4.82</v>
      </c>
      <c r="C16" s="45">
        <f>'Jute '!C8+'Mesta U'!C13</f>
        <v>4.859999999999999</v>
      </c>
      <c r="D16" s="45">
        <f>'Jute '!D8+'Mesta U'!D13</f>
        <v>4.88</v>
      </c>
      <c r="E16" s="45">
        <f>'Jute '!E8+'Mesta U'!E13</f>
        <v>4.91</v>
      </c>
      <c r="F16" s="45">
        <f>'Jute '!F8+'Mesta U'!F13</f>
        <v>4.949999999999999</v>
      </c>
      <c r="G16" s="45">
        <f>'Jute '!G8+'Mesta U'!G13</f>
        <v>7.73</v>
      </c>
      <c r="H16" s="45">
        <f>'Jute '!H8+'Mesta U'!H13</f>
        <v>7.799999999999999</v>
      </c>
      <c r="I16" s="45">
        <f>'Jute '!I8+'Mesta U'!I13</f>
        <v>7.83</v>
      </c>
      <c r="J16" s="45">
        <f>'Jute '!J8+'Mesta U'!J13</f>
        <v>7.88</v>
      </c>
      <c r="K16" s="45">
        <f>'Jute '!K8+'Mesta U'!K13</f>
        <v>7.9399999999999995</v>
      </c>
      <c r="L16" s="100">
        <f t="shared" si="6"/>
        <v>288.6721991701245</v>
      </c>
      <c r="M16" s="100">
        <f t="shared" si="6"/>
        <v>288.88888888888886</v>
      </c>
      <c r="N16" s="100">
        <f>I16*180/D16</f>
        <v>288.8114754098361</v>
      </c>
      <c r="O16" s="100">
        <f t="shared" si="4"/>
        <v>288.8798370672098</v>
      </c>
      <c r="P16" s="100">
        <f t="shared" si="1"/>
        <v>288.72727272727275</v>
      </c>
      <c r="GT16" s="48" t="e">
        <f t="shared" si="2"/>
        <v>#DIV/0!</v>
      </c>
    </row>
    <row r="17" spans="1:202" ht="39.75" customHeight="1">
      <c r="A17" s="111" t="s">
        <v>111</v>
      </c>
      <c r="B17" s="45">
        <f>'Jute '!B9+'Mesta U'!B14</f>
        <v>15.458</v>
      </c>
      <c r="C17" s="45">
        <f>'Jute '!C9+'Mesta U'!C14</f>
        <v>14.700000000000001</v>
      </c>
      <c r="D17" s="45">
        <f>'Jute '!D9+'Mesta U'!D14</f>
        <v>12.84</v>
      </c>
      <c r="E17" s="45">
        <f>'Jute '!E9+'Mesta U'!E14</f>
        <v>9.889999999999999</v>
      </c>
      <c r="F17" s="45">
        <f>'Jute '!F9+'Mesta U'!F14</f>
        <v>7.14</v>
      </c>
      <c r="G17" s="45">
        <f>'Jute '!G9+'Mesta U'!G14</f>
        <v>83.78</v>
      </c>
      <c r="H17" s="45">
        <f>'Jute '!H9+'Mesta U'!H14</f>
        <v>82.33</v>
      </c>
      <c r="I17" s="45">
        <f>'Jute '!I9+'Mesta U'!I14</f>
        <v>68.35</v>
      </c>
      <c r="J17" s="45">
        <f>'Jute '!J9+'Mesta U'!J14</f>
        <v>56.78</v>
      </c>
      <c r="K17" s="45">
        <f>'Jute '!K9+'Mesta U'!K14</f>
        <v>32.78</v>
      </c>
      <c r="L17" s="100">
        <f t="shared" si="6"/>
        <v>975.5725190839694</v>
      </c>
      <c r="M17" s="100">
        <f t="shared" si="6"/>
        <v>1008.1224489795917</v>
      </c>
      <c r="N17" s="100">
        <f>I17*180/D17</f>
        <v>958.1775700934578</v>
      </c>
      <c r="O17" s="100">
        <f t="shared" si="4"/>
        <v>1033.407482305359</v>
      </c>
      <c r="P17" s="100">
        <f t="shared" si="1"/>
        <v>826.3865546218489</v>
      </c>
      <c r="GT17" s="48" t="e">
        <f t="shared" si="2"/>
        <v>#DIV/0!</v>
      </c>
    </row>
    <row r="18" spans="1:202" ht="39.75" customHeight="1" hidden="1">
      <c r="A18" s="111" t="s">
        <v>19</v>
      </c>
      <c r="B18" s="45" t="s">
        <v>101</v>
      </c>
      <c r="C18" s="45" t="s">
        <v>101</v>
      </c>
      <c r="D18" s="45" t="s">
        <v>101</v>
      </c>
      <c r="E18" s="45"/>
      <c r="F18" s="45"/>
      <c r="G18" s="45" t="s">
        <v>101</v>
      </c>
      <c r="H18" s="45" t="s">
        <v>101</v>
      </c>
      <c r="I18" s="45" t="s">
        <v>101</v>
      </c>
      <c r="J18" s="45"/>
      <c r="K18" s="45"/>
      <c r="L18" s="100" t="e">
        <f>G18*180/B18</f>
        <v>#VALUE!</v>
      </c>
      <c r="M18" s="100" t="e">
        <f>H18*180/C18</f>
        <v>#VALUE!</v>
      </c>
      <c r="N18" s="100" t="e">
        <f>I18*180/D18</f>
        <v>#VALUE!</v>
      </c>
      <c r="O18" s="100" t="e">
        <f>J18*180/E18</f>
        <v>#DIV/0!</v>
      </c>
      <c r="P18" s="100" t="e">
        <f>K18*180/F18</f>
        <v>#DIV/0!</v>
      </c>
      <c r="GT18" s="48"/>
    </row>
    <row r="19" spans="1:202" ht="39.75" customHeight="1">
      <c r="A19" s="111" t="s">
        <v>19</v>
      </c>
      <c r="B19" s="45">
        <f>'Mesta U'!B15</f>
        <v>0</v>
      </c>
      <c r="C19" s="45">
        <f>'Mesta U'!C15</f>
        <v>0</v>
      </c>
      <c r="D19" s="45">
        <f>'Mesta U'!D15</f>
        <v>0</v>
      </c>
      <c r="E19" s="45">
        <f>'Mesta U'!E15</f>
        <v>0</v>
      </c>
      <c r="F19" s="45">
        <f>'Mesta U'!F15</f>
        <v>0</v>
      </c>
      <c r="G19" s="45">
        <f>'Mesta U'!G15</f>
        <v>0</v>
      </c>
      <c r="H19" s="45">
        <f>'Mesta U'!H15</f>
        <v>0</v>
      </c>
      <c r="I19" s="45">
        <f>'Mesta U'!I15</f>
        <v>0</v>
      </c>
      <c r="J19" s="45">
        <f>'Mesta U'!J15</f>
        <v>0</v>
      </c>
      <c r="K19" s="45">
        <f>'Mesta U'!K15</f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GT19" s="48"/>
    </row>
    <row r="20" spans="1:202" ht="39.75" customHeight="1">
      <c r="A20" s="111" t="s">
        <v>116</v>
      </c>
      <c r="B20" s="45">
        <f>'Mesta U'!B16</f>
        <v>0</v>
      </c>
      <c r="C20" s="45">
        <f>'Mesta U'!C16</f>
        <v>0</v>
      </c>
      <c r="D20" s="45">
        <f>'Mesta U'!D16</f>
        <v>0</v>
      </c>
      <c r="E20" s="45">
        <f>'Mesta U'!E16</f>
        <v>0</v>
      </c>
      <c r="F20" s="45">
        <f>'Mesta U'!F16</f>
        <v>0</v>
      </c>
      <c r="G20" s="45">
        <f>'Mesta U'!G16</f>
        <v>1.01</v>
      </c>
      <c r="H20" s="45">
        <f>'Mesta U'!H16</f>
        <v>0.99</v>
      </c>
      <c r="I20" s="45">
        <f>'Mesta U'!I16</f>
        <v>1</v>
      </c>
      <c r="J20" s="45">
        <f>'Mesta U'!J16</f>
        <v>0</v>
      </c>
      <c r="K20" s="45">
        <f>'Mesta U'!K16</f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GT20" s="48" t="e">
        <f t="shared" si="2"/>
        <v>#DIV/0!</v>
      </c>
    </row>
    <row r="21" spans="1:202" ht="39.75" customHeight="1" thickBot="1">
      <c r="A21" s="111" t="s">
        <v>53</v>
      </c>
      <c r="B21" s="110">
        <f>'Jute '!B10+'Mesta U'!B17</f>
        <v>1.2810000000000001</v>
      </c>
      <c r="C21" s="110">
        <f>'Jute '!C10+'Mesta U'!C17</f>
        <v>1.49</v>
      </c>
      <c r="D21" s="110">
        <f>'Jute '!D10+'Mesta U'!D17</f>
        <v>1.28</v>
      </c>
      <c r="E21" s="110">
        <f>'Jute '!E10+'Mesta U'!E17</f>
        <v>1.2770000000000001</v>
      </c>
      <c r="F21" s="110">
        <f>'Jute '!F10+'Mesta U'!F17</f>
        <v>1.173</v>
      </c>
      <c r="G21" s="110">
        <f>'Jute '!G10+'Mesta U'!G17</f>
        <v>10.337</v>
      </c>
      <c r="H21" s="110">
        <f>'Jute '!H10+'Mesta U'!H17</f>
        <v>12.370000000000001</v>
      </c>
      <c r="I21" s="110">
        <f>'Jute '!I10+'Mesta U'!I17</f>
        <v>10.64</v>
      </c>
      <c r="J21" s="110">
        <f>'Jute '!J10+'Mesta U'!J17</f>
        <v>11.231</v>
      </c>
      <c r="K21" s="110">
        <f>'Jute '!K10+'Mesta U'!K17</f>
        <v>10.33</v>
      </c>
      <c r="L21" s="100">
        <f aca="true" t="shared" si="7" ref="L20:N23">G21*180/B21</f>
        <v>1452.5058548009365</v>
      </c>
      <c r="M21" s="100">
        <f t="shared" si="7"/>
        <v>1494.3624161073828</v>
      </c>
      <c r="N21" s="100">
        <f t="shared" si="7"/>
        <v>1496.25</v>
      </c>
      <c r="O21" s="100">
        <f t="shared" si="4"/>
        <v>1583.0696945967109</v>
      </c>
      <c r="P21" s="100">
        <f t="shared" si="1"/>
        <v>1585.1662404092071</v>
      </c>
      <c r="GT21" s="48" t="e">
        <f t="shared" si="2"/>
        <v>#DIV/0!</v>
      </c>
    </row>
    <row r="22" spans="1:202" ht="39.75" customHeight="1" thickBot="1">
      <c r="A22" s="111" t="s">
        <v>23</v>
      </c>
      <c r="B22" s="45">
        <f>'Jute '!B11+'Mesta U'!B18</f>
        <v>583.4100000000001</v>
      </c>
      <c r="C22" s="45">
        <f>'Jute '!C11+'Mesta U'!C18</f>
        <v>574.847</v>
      </c>
      <c r="D22" s="45">
        <f>'Jute '!D11+'Mesta U'!D18</f>
        <v>576.1</v>
      </c>
      <c r="E22" s="45">
        <f>'Jute '!E11+'Mesta U'!E18</f>
        <v>554.0790000000001</v>
      </c>
      <c r="F22" s="45">
        <f>'Jute '!F11+'Mesta U'!F18</f>
        <v>536.1650000000001</v>
      </c>
      <c r="G22" s="45">
        <f>'Jute '!G11+'Mesta U'!G18</f>
        <v>8310.83</v>
      </c>
      <c r="H22" s="45">
        <f>'Jute '!H11+'Mesta U'!H18</f>
        <v>8882.429999999998</v>
      </c>
      <c r="I22" s="45">
        <f>'Jute '!I11+'Mesta U'!I18</f>
        <v>8453.71</v>
      </c>
      <c r="J22" s="45">
        <f>'Jute '!J11+'Mesta U'!J18</f>
        <v>7776.782</v>
      </c>
      <c r="K22" s="45">
        <f>'Jute '!K11+'Mesta U'!K18</f>
        <v>8349.589</v>
      </c>
      <c r="L22" s="100">
        <f t="shared" si="7"/>
        <v>2564.147683447318</v>
      </c>
      <c r="M22" s="100">
        <f t="shared" si="7"/>
        <v>2781.326857407275</v>
      </c>
      <c r="N22" s="100">
        <f t="shared" si="7"/>
        <v>2641.32581149106</v>
      </c>
      <c r="O22" s="100">
        <f t="shared" si="4"/>
        <v>2526.392012691331</v>
      </c>
      <c r="P22" s="100">
        <f t="shared" si="1"/>
        <v>2803.1035595385747</v>
      </c>
      <c r="GT22" s="52" t="e">
        <f t="shared" si="2"/>
        <v>#DIV/0!</v>
      </c>
    </row>
    <row r="23" spans="1:16" ht="33" customHeight="1">
      <c r="A23" s="237" t="s">
        <v>45</v>
      </c>
      <c r="B23" s="174">
        <f>'Jute '!B12+'Mesta U'!B19</f>
        <v>862.519</v>
      </c>
      <c r="C23" s="174">
        <f>'Jute '!C12+'Mesta U'!C19</f>
        <v>837.667</v>
      </c>
      <c r="D23" s="174">
        <f>'Jute '!D12+'Mesta U'!D19</f>
        <v>809.71</v>
      </c>
      <c r="E23" s="174">
        <f>'Jute '!E12+'Mesta U'!E19</f>
        <v>782.301</v>
      </c>
      <c r="F23" s="174">
        <f>'Jute '!F12+'Mesta U'!F19</f>
        <v>763.41</v>
      </c>
      <c r="G23" s="174">
        <f>'Jute '!G12+'Mesta U'!G19</f>
        <v>10930.117</v>
      </c>
      <c r="H23" s="174">
        <f>'Jute '!H12+'Mesta U'!H19</f>
        <v>11690.16</v>
      </c>
      <c r="I23" s="174">
        <f>'Jute '!I12+'Mesta U'!I19</f>
        <v>11126.050000000001</v>
      </c>
      <c r="J23" s="174">
        <f>'Jute '!J12+'Mesta U'!J19</f>
        <v>10523.581</v>
      </c>
      <c r="K23" s="174">
        <f>'Jute '!K12+'Mesta U'!K19</f>
        <v>10962.404</v>
      </c>
      <c r="L23" s="238">
        <f t="shared" si="7"/>
        <v>2281.0176471474833</v>
      </c>
      <c r="M23" s="238">
        <f t="shared" si="7"/>
        <v>2512.0110974886197</v>
      </c>
      <c r="N23" s="238">
        <f t="shared" si="7"/>
        <v>2473.341072729743</v>
      </c>
      <c r="O23" s="238">
        <f t="shared" si="4"/>
        <v>2421.375634186841</v>
      </c>
      <c r="P23" s="238">
        <f t="shared" si="1"/>
        <v>2584.761425708335</v>
      </c>
    </row>
    <row r="24" spans="1:11" ht="18">
      <c r="A24" s="39" t="s">
        <v>120</v>
      </c>
      <c r="B24" s="33"/>
      <c r="C24" s="33"/>
      <c r="D24" s="33"/>
      <c r="E24" s="33"/>
      <c r="F24" s="33"/>
      <c r="G24" s="53"/>
      <c r="H24" s="53"/>
      <c r="I24" s="53"/>
      <c r="J24" s="53"/>
      <c r="K24" s="53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</sheetData>
  <sheetProtection/>
  <mergeCells count="5">
    <mergeCell ref="A4:A5"/>
    <mergeCell ref="L4:P4"/>
    <mergeCell ref="G4:K4"/>
    <mergeCell ref="B4:F4"/>
    <mergeCell ref="A2:P2"/>
  </mergeCells>
  <printOptions horizontalCentered="1"/>
  <pageMargins left="0.511811023622047" right="0.511811023622047" top="0.748031496062992" bottom="0" header="0.511811023622047" footer="0.511811023622047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72"/>
  <sheetViews>
    <sheetView view="pageBreakPreview" zoomScale="70" zoomScaleNormal="60" zoomScaleSheetLayoutView="70" zoomScalePageLayoutView="0" workbookViewId="0" topLeftCell="A1">
      <selection activeCell="N61" sqref="N61"/>
    </sheetView>
  </sheetViews>
  <sheetFormatPr defaultColWidth="9.140625" defaultRowHeight="12.75"/>
  <cols>
    <col min="1" max="1" width="23.421875" style="8" customWidth="1"/>
    <col min="2" max="4" width="12.421875" style="8" customWidth="1"/>
    <col min="5" max="5" width="11.8515625" style="8" customWidth="1"/>
    <col min="6" max="6" width="14.00390625" style="61" bestFit="1" customWidth="1"/>
    <col min="7" max="7" width="14.00390625" style="61" customWidth="1"/>
    <col min="8" max="9" width="11.140625" style="8" customWidth="1"/>
    <col min="10" max="10" width="11.7109375" style="8" customWidth="1"/>
    <col min="11" max="12" width="11.00390625" style="15" customWidth="1"/>
    <col min="13" max="13" width="10.00390625" style="8" customWidth="1"/>
    <col min="14" max="14" width="11.57421875" style="8" bestFit="1" customWidth="1"/>
    <col min="15" max="17" width="10.28125" style="8" customWidth="1"/>
    <col min="18" max="16384" width="9.140625" style="8" customWidth="1"/>
  </cols>
  <sheetData>
    <row r="1" spans="1:17" ht="34.5" customHeight="1">
      <c r="A1" s="199" t="s">
        <v>125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ht="19.5" customHeight="1">
      <c r="A2" s="184" t="s">
        <v>78</v>
      </c>
      <c r="B2" s="184" t="s">
        <v>80</v>
      </c>
      <c r="C2" s="185" t="s">
        <v>81</v>
      </c>
      <c r="D2" s="186"/>
      <c r="E2" s="186"/>
      <c r="F2" s="186"/>
      <c r="G2" s="187"/>
      <c r="H2" s="185" t="s">
        <v>82</v>
      </c>
      <c r="I2" s="186"/>
      <c r="J2" s="186"/>
      <c r="K2" s="186"/>
      <c r="L2" s="187"/>
      <c r="M2" s="184" t="s">
        <v>79</v>
      </c>
      <c r="N2" s="184"/>
      <c r="O2" s="184"/>
      <c r="P2" s="184"/>
      <c r="Q2" s="184"/>
    </row>
    <row r="3" spans="1:17" ht="25.5" customHeight="1">
      <c r="A3" s="184"/>
      <c r="B3" s="184"/>
      <c r="C3" s="133" t="s">
        <v>112</v>
      </c>
      <c r="D3" s="133" t="s">
        <v>113</v>
      </c>
      <c r="E3" s="133" t="s">
        <v>115</v>
      </c>
      <c r="F3" s="133" t="s">
        <v>121</v>
      </c>
      <c r="G3" s="133" t="s">
        <v>122</v>
      </c>
      <c r="H3" s="133" t="s">
        <v>112</v>
      </c>
      <c r="I3" s="133" t="s">
        <v>113</v>
      </c>
      <c r="J3" s="133" t="s">
        <v>115</v>
      </c>
      <c r="K3" s="133" t="s">
        <v>121</v>
      </c>
      <c r="L3" s="133" t="s">
        <v>122</v>
      </c>
      <c r="M3" s="133" t="s">
        <v>112</v>
      </c>
      <c r="N3" s="133" t="s">
        <v>113</v>
      </c>
      <c r="O3" s="133" t="s">
        <v>115</v>
      </c>
      <c r="P3" s="133" t="s">
        <v>121</v>
      </c>
      <c r="Q3" s="133" t="s">
        <v>122</v>
      </c>
    </row>
    <row r="4" spans="1:17" ht="26.25" customHeight="1">
      <c r="A4" s="192" t="s">
        <v>1</v>
      </c>
      <c r="B4" s="19" t="s">
        <v>2</v>
      </c>
      <c r="C4" s="73">
        <v>1043</v>
      </c>
      <c r="D4" s="73">
        <v>1086</v>
      </c>
      <c r="E4" s="73">
        <v>804</v>
      </c>
      <c r="F4" s="73">
        <v>682</v>
      </c>
      <c r="G4" s="73">
        <v>933</v>
      </c>
      <c r="H4" s="73">
        <v>540</v>
      </c>
      <c r="I4" s="73">
        <v>681</v>
      </c>
      <c r="J4" s="76">
        <v>330</v>
      </c>
      <c r="K4" s="73">
        <v>598</v>
      </c>
      <c r="L4" s="73">
        <v>391</v>
      </c>
      <c r="M4" s="94">
        <f aca="true" t="shared" si="0" ref="M4:Q7">H4/C4*1000</f>
        <v>517.7372962607863</v>
      </c>
      <c r="N4" s="94">
        <f t="shared" si="0"/>
        <v>627.0718232044198</v>
      </c>
      <c r="O4" s="94">
        <f t="shared" si="0"/>
        <v>410.44776119402985</v>
      </c>
      <c r="P4" s="94">
        <f t="shared" si="0"/>
        <v>876.8328445747801</v>
      </c>
      <c r="Q4" s="124">
        <f t="shared" si="0"/>
        <v>419.0782422293676</v>
      </c>
    </row>
    <row r="5" spans="1:17" ht="26.25" customHeight="1">
      <c r="A5" s="192"/>
      <c r="B5" s="19" t="s">
        <v>72</v>
      </c>
      <c r="C5" s="73">
        <v>115</v>
      </c>
      <c r="D5" s="73">
        <v>90.3</v>
      </c>
      <c r="E5" s="73">
        <v>70</v>
      </c>
      <c r="F5" s="73">
        <v>93</v>
      </c>
      <c r="G5" s="73">
        <v>80</v>
      </c>
      <c r="H5" s="73">
        <v>240.4</v>
      </c>
      <c r="I5" s="73">
        <v>200.3</v>
      </c>
      <c r="J5" s="76">
        <v>163</v>
      </c>
      <c r="K5" s="73">
        <v>203</v>
      </c>
      <c r="L5" s="73">
        <v>212</v>
      </c>
      <c r="M5" s="94">
        <f t="shared" si="0"/>
        <v>2090.434782608696</v>
      </c>
      <c r="N5" s="94">
        <f t="shared" si="0"/>
        <v>2218.1616832779623</v>
      </c>
      <c r="O5" s="94">
        <f t="shared" si="0"/>
        <v>2328.571428571429</v>
      </c>
      <c r="P5" s="94">
        <f t="shared" si="0"/>
        <v>2182.795698924731</v>
      </c>
      <c r="Q5" s="124">
        <f t="shared" si="0"/>
        <v>2650</v>
      </c>
    </row>
    <row r="6" spans="1:17" s="138" customFormat="1" ht="26.25" customHeight="1">
      <c r="A6" s="192"/>
      <c r="B6" s="135" t="s">
        <v>73</v>
      </c>
      <c r="C6" s="129">
        <f>C5+C4</f>
        <v>1158</v>
      </c>
      <c r="D6" s="129">
        <f aca="true" t="shared" si="1" ref="D6:L6">D5+D4</f>
        <v>1176.3</v>
      </c>
      <c r="E6" s="129">
        <f t="shared" si="1"/>
        <v>874</v>
      </c>
      <c r="F6" s="129">
        <f t="shared" si="1"/>
        <v>775</v>
      </c>
      <c r="G6" s="129">
        <f t="shared" si="1"/>
        <v>1013</v>
      </c>
      <c r="H6" s="129">
        <f t="shared" si="1"/>
        <v>780.4</v>
      </c>
      <c r="I6" s="129">
        <f t="shared" si="1"/>
        <v>881.3</v>
      </c>
      <c r="J6" s="129">
        <f t="shared" si="1"/>
        <v>493</v>
      </c>
      <c r="K6" s="129">
        <f t="shared" si="1"/>
        <v>801</v>
      </c>
      <c r="L6" s="129">
        <f t="shared" si="1"/>
        <v>603</v>
      </c>
      <c r="M6" s="136">
        <f t="shared" si="0"/>
        <v>673.9205526770294</v>
      </c>
      <c r="N6" s="136">
        <f t="shared" si="0"/>
        <v>749.2136359772167</v>
      </c>
      <c r="O6" s="136">
        <f t="shared" si="0"/>
        <v>564.0732265446225</v>
      </c>
      <c r="P6" s="136">
        <f t="shared" si="0"/>
        <v>1033.5483870967741</v>
      </c>
      <c r="Q6" s="137">
        <f t="shared" si="0"/>
        <v>595.2615992102666</v>
      </c>
    </row>
    <row r="7" spans="1:17" ht="26.25" customHeight="1">
      <c r="A7" s="19" t="s">
        <v>33</v>
      </c>
      <c r="B7" s="135" t="s">
        <v>2</v>
      </c>
      <c r="C7" s="75">
        <v>0.623</v>
      </c>
      <c r="D7" s="75">
        <v>0.59</v>
      </c>
      <c r="E7" s="75">
        <v>0.63</v>
      </c>
      <c r="F7" s="129">
        <v>0.63</v>
      </c>
      <c r="G7" s="129">
        <v>0.888</v>
      </c>
      <c r="H7" s="75">
        <v>1.973</v>
      </c>
      <c r="I7" s="75">
        <v>0.56</v>
      </c>
      <c r="J7" s="139">
        <v>0.63</v>
      </c>
      <c r="K7" s="129">
        <v>0.653</v>
      </c>
      <c r="L7" s="129">
        <v>0.868</v>
      </c>
      <c r="M7" s="136">
        <f t="shared" si="0"/>
        <v>3166.9341894060994</v>
      </c>
      <c r="N7" s="136">
        <f t="shared" si="0"/>
        <v>949.1525423728815</v>
      </c>
      <c r="O7" s="136">
        <f t="shared" si="0"/>
        <v>1000</v>
      </c>
      <c r="P7" s="136">
        <f t="shared" si="0"/>
        <v>1036.5079365079366</v>
      </c>
      <c r="Q7" s="137">
        <f t="shared" si="0"/>
        <v>977.4774774774775</v>
      </c>
    </row>
    <row r="8" spans="1:17" ht="26.25" customHeight="1">
      <c r="A8" s="2" t="s">
        <v>5</v>
      </c>
      <c r="B8" s="63" t="s">
        <v>2</v>
      </c>
      <c r="C8" s="129">
        <v>0.76</v>
      </c>
      <c r="D8" s="129">
        <v>0.89</v>
      </c>
      <c r="E8" s="129">
        <v>0.57</v>
      </c>
      <c r="F8" s="129">
        <v>0.492</v>
      </c>
      <c r="G8" s="129">
        <v>0.979</v>
      </c>
      <c r="H8" s="129">
        <v>0.78</v>
      </c>
      <c r="I8" s="129">
        <v>0.91</v>
      </c>
      <c r="J8" s="140">
        <v>0.59</v>
      </c>
      <c r="K8" s="129">
        <v>0.501</v>
      </c>
      <c r="L8" s="129">
        <v>0.994</v>
      </c>
      <c r="M8" s="136">
        <f aca="true" t="shared" si="2" ref="M8:M18">H8/C8*1000</f>
        <v>1026.3157894736844</v>
      </c>
      <c r="N8" s="136">
        <f aca="true" t="shared" si="3" ref="N8:N33">I8/D8*1000</f>
        <v>1022.4719101123596</v>
      </c>
      <c r="O8" s="136">
        <f aca="true" t="shared" si="4" ref="O8:O33">J8/E8*1000</f>
        <v>1035.0877192982457</v>
      </c>
      <c r="P8" s="136">
        <f aca="true" t="shared" si="5" ref="P8:Q33">K8/F8*1000</f>
        <v>1018.2926829268292</v>
      </c>
      <c r="Q8" s="137">
        <f aca="true" t="shared" si="6" ref="Q8:Q17">L8/G8*1000</f>
        <v>1015.3217568947905</v>
      </c>
    </row>
    <row r="9" spans="1:17" ht="26.25" customHeight="1">
      <c r="A9" s="2" t="s">
        <v>6</v>
      </c>
      <c r="B9" s="63" t="s">
        <v>2</v>
      </c>
      <c r="C9" s="129">
        <v>25.3</v>
      </c>
      <c r="D9" s="129">
        <v>25.6</v>
      </c>
      <c r="E9" s="129">
        <v>25.7</v>
      </c>
      <c r="F9" s="129">
        <v>27.3</v>
      </c>
      <c r="G9" s="129">
        <v>25.2</v>
      </c>
      <c r="H9" s="129">
        <v>34.9</v>
      </c>
      <c r="I9" s="129">
        <v>37.3</v>
      </c>
      <c r="J9" s="140">
        <v>36.3</v>
      </c>
      <c r="K9" s="129">
        <v>33.6</v>
      </c>
      <c r="L9" s="129">
        <v>46.4</v>
      </c>
      <c r="M9" s="136">
        <f t="shared" si="2"/>
        <v>1379.4466403162053</v>
      </c>
      <c r="N9" s="136">
        <f t="shared" si="3"/>
        <v>1457.0312499999998</v>
      </c>
      <c r="O9" s="136">
        <f t="shared" si="4"/>
        <v>1412.4513618677042</v>
      </c>
      <c r="P9" s="136">
        <f t="shared" si="5"/>
        <v>1230.769230769231</v>
      </c>
      <c r="Q9" s="137">
        <f t="shared" si="6"/>
        <v>1841.2698412698412</v>
      </c>
    </row>
    <row r="10" spans="1:17" ht="26.25" customHeight="1">
      <c r="A10" s="192" t="s">
        <v>7</v>
      </c>
      <c r="B10" s="19" t="s">
        <v>2</v>
      </c>
      <c r="C10" s="73">
        <v>0.53</v>
      </c>
      <c r="D10" s="73">
        <v>0.39</v>
      </c>
      <c r="E10" s="73">
        <v>0.36</v>
      </c>
      <c r="F10" s="73">
        <v>0.361</v>
      </c>
      <c r="G10" s="73">
        <v>0.336</v>
      </c>
      <c r="H10" s="73">
        <v>1.346</v>
      </c>
      <c r="I10" s="73">
        <v>0.95</v>
      </c>
      <c r="J10" s="76">
        <v>0.73</v>
      </c>
      <c r="K10" s="73">
        <v>0.737</v>
      </c>
      <c r="L10" s="73">
        <v>0.859</v>
      </c>
      <c r="M10" s="94">
        <f t="shared" si="2"/>
        <v>2539.6226415094343</v>
      </c>
      <c r="N10" s="94">
        <f t="shared" si="3"/>
        <v>2435.8974358974356</v>
      </c>
      <c r="O10" s="94">
        <f t="shared" si="4"/>
        <v>2027.7777777777776</v>
      </c>
      <c r="P10" s="94">
        <f t="shared" si="5"/>
        <v>2041.5512465373959</v>
      </c>
      <c r="Q10" s="124">
        <f t="shared" si="6"/>
        <v>2556.547619047619</v>
      </c>
    </row>
    <row r="11" spans="1:17" ht="26.25" customHeight="1">
      <c r="A11" s="192"/>
      <c r="B11" s="19" t="s">
        <v>72</v>
      </c>
      <c r="C11" s="73">
        <v>2.57</v>
      </c>
      <c r="D11" s="73">
        <v>2.2</v>
      </c>
      <c r="E11" s="73">
        <v>1.91</v>
      </c>
      <c r="F11" s="73">
        <v>1.537</v>
      </c>
      <c r="G11" s="73">
        <v>1.352</v>
      </c>
      <c r="H11" s="73">
        <v>6.123</v>
      </c>
      <c r="I11" s="73">
        <v>5.64</v>
      </c>
      <c r="J11" s="76">
        <v>3.58</v>
      </c>
      <c r="K11" s="73">
        <v>3.298</v>
      </c>
      <c r="L11" s="73">
        <v>3.112</v>
      </c>
      <c r="M11" s="94">
        <f t="shared" si="2"/>
        <v>2382.4902723735413</v>
      </c>
      <c r="N11" s="94">
        <f t="shared" si="3"/>
        <v>2563.6363636363635</v>
      </c>
      <c r="O11" s="94">
        <f t="shared" si="4"/>
        <v>1874.34554973822</v>
      </c>
      <c r="P11" s="94">
        <f t="shared" si="5"/>
        <v>2145.7384515289527</v>
      </c>
      <c r="Q11" s="124">
        <f t="shared" si="6"/>
        <v>2301.775147928994</v>
      </c>
    </row>
    <row r="12" spans="1:17" s="138" customFormat="1" ht="26.25" customHeight="1">
      <c r="A12" s="192"/>
      <c r="B12" s="135" t="s">
        <v>73</v>
      </c>
      <c r="C12" s="129">
        <f>C11+C10</f>
        <v>3.0999999999999996</v>
      </c>
      <c r="D12" s="129">
        <f aca="true" t="shared" si="7" ref="D12:L12">D11+D10</f>
        <v>2.5900000000000003</v>
      </c>
      <c r="E12" s="129">
        <f t="shared" si="7"/>
        <v>2.27</v>
      </c>
      <c r="F12" s="129">
        <f t="shared" si="7"/>
        <v>1.898</v>
      </c>
      <c r="G12" s="129">
        <f t="shared" si="7"/>
        <v>1.6880000000000002</v>
      </c>
      <c r="H12" s="129">
        <f t="shared" si="7"/>
        <v>7.469</v>
      </c>
      <c r="I12" s="129">
        <f t="shared" si="7"/>
        <v>6.59</v>
      </c>
      <c r="J12" s="129">
        <f t="shared" si="7"/>
        <v>4.3100000000000005</v>
      </c>
      <c r="K12" s="129">
        <f t="shared" si="7"/>
        <v>4.035</v>
      </c>
      <c r="L12" s="129">
        <f t="shared" si="7"/>
        <v>3.971</v>
      </c>
      <c r="M12" s="136">
        <f t="shared" si="2"/>
        <v>2409.3548387096776</v>
      </c>
      <c r="N12" s="136">
        <f t="shared" si="3"/>
        <v>2544.401544401544</v>
      </c>
      <c r="O12" s="136">
        <f t="shared" si="4"/>
        <v>1898.6784140969164</v>
      </c>
      <c r="P12" s="136">
        <f t="shared" si="5"/>
        <v>2125.9220231822974</v>
      </c>
      <c r="Q12" s="137">
        <f t="shared" si="6"/>
        <v>2352.4881516587675</v>
      </c>
    </row>
    <row r="13" spans="1:17" ht="26.25" customHeight="1">
      <c r="A13" s="188" t="s">
        <v>8</v>
      </c>
      <c r="B13" s="2" t="s">
        <v>2</v>
      </c>
      <c r="C13" s="73">
        <v>1219</v>
      </c>
      <c r="D13" s="73">
        <v>1748</v>
      </c>
      <c r="E13" s="73">
        <v>1346</v>
      </c>
      <c r="F13" s="73">
        <v>1356</v>
      </c>
      <c r="G13" s="73">
        <v>1696</v>
      </c>
      <c r="H13" s="73">
        <v>607</v>
      </c>
      <c r="I13" s="73">
        <v>4747.568</v>
      </c>
      <c r="J13" s="76">
        <v>2918</v>
      </c>
      <c r="K13" s="73">
        <v>2243.0952</v>
      </c>
      <c r="L13" s="73">
        <v>3044.32</v>
      </c>
      <c r="M13" s="94">
        <f t="shared" si="2"/>
        <v>497.949138638228</v>
      </c>
      <c r="N13" s="94">
        <f t="shared" si="3"/>
        <v>2716</v>
      </c>
      <c r="O13" s="94">
        <f t="shared" si="4"/>
        <v>2167.904903417533</v>
      </c>
      <c r="P13" s="94">
        <f t="shared" si="5"/>
        <v>1654.2</v>
      </c>
      <c r="Q13" s="124">
        <f t="shared" si="6"/>
        <v>1795.0000000000002</v>
      </c>
    </row>
    <row r="14" spans="1:17" ht="26.25" customHeight="1">
      <c r="A14" s="188"/>
      <c r="B14" s="2" t="s">
        <v>72</v>
      </c>
      <c r="C14" s="73">
        <v>66</v>
      </c>
      <c r="D14" s="73">
        <v>95</v>
      </c>
      <c r="E14" s="73">
        <v>55</v>
      </c>
      <c r="F14" s="73">
        <v>58</v>
      </c>
      <c r="G14" s="73">
        <v>63</v>
      </c>
      <c r="H14" s="73">
        <v>151</v>
      </c>
      <c r="I14" s="73">
        <v>170</v>
      </c>
      <c r="J14" s="76">
        <v>100</v>
      </c>
      <c r="K14" s="73">
        <v>96</v>
      </c>
      <c r="L14" s="73">
        <v>113</v>
      </c>
      <c r="M14" s="94">
        <f t="shared" si="2"/>
        <v>2287.878787878788</v>
      </c>
      <c r="N14" s="94">
        <f t="shared" si="3"/>
        <v>1789.4736842105262</v>
      </c>
      <c r="O14" s="94">
        <f t="shared" si="4"/>
        <v>1818.181818181818</v>
      </c>
      <c r="P14" s="94">
        <f t="shared" si="5"/>
        <v>1655.1724137931035</v>
      </c>
      <c r="Q14" s="124">
        <f t="shared" si="6"/>
        <v>1793.6507936507937</v>
      </c>
    </row>
    <row r="15" spans="1:17" s="138" customFormat="1" ht="26.25" customHeight="1">
      <c r="A15" s="188"/>
      <c r="B15" s="63" t="s">
        <v>73</v>
      </c>
      <c r="C15" s="75">
        <f>C14+C13</f>
        <v>1285</v>
      </c>
      <c r="D15" s="75">
        <f aca="true" t="shared" si="8" ref="D15:L15">D14+D13</f>
        <v>1843</v>
      </c>
      <c r="E15" s="75">
        <f t="shared" si="8"/>
        <v>1401</v>
      </c>
      <c r="F15" s="75">
        <f t="shared" si="8"/>
        <v>1414</v>
      </c>
      <c r="G15" s="75">
        <f t="shared" si="8"/>
        <v>1759</v>
      </c>
      <c r="H15" s="75">
        <f t="shared" si="8"/>
        <v>758</v>
      </c>
      <c r="I15" s="75">
        <f t="shared" si="8"/>
        <v>4917.568</v>
      </c>
      <c r="J15" s="75">
        <f t="shared" si="8"/>
        <v>3018</v>
      </c>
      <c r="K15" s="75">
        <f t="shared" si="8"/>
        <v>2339.0952</v>
      </c>
      <c r="L15" s="75">
        <f t="shared" si="8"/>
        <v>3157.32</v>
      </c>
      <c r="M15" s="136">
        <f t="shared" si="2"/>
        <v>589.8832684824903</v>
      </c>
      <c r="N15" s="136">
        <f t="shared" si="3"/>
        <v>2668.2409115572436</v>
      </c>
      <c r="O15" s="136">
        <f t="shared" si="4"/>
        <v>2154.1755888650964</v>
      </c>
      <c r="P15" s="136">
        <f t="shared" si="5"/>
        <v>1654.2398868458276</v>
      </c>
      <c r="Q15" s="137">
        <f t="shared" si="6"/>
        <v>1794.9516770892553</v>
      </c>
    </row>
    <row r="16" spans="1:17" ht="26.25" customHeight="1">
      <c r="A16" s="2" t="s">
        <v>9</v>
      </c>
      <c r="B16" s="63" t="s">
        <v>2</v>
      </c>
      <c r="C16" s="129">
        <v>2.8</v>
      </c>
      <c r="D16" s="129">
        <v>5.6</v>
      </c>
      <c r="E16" s="129">
        <v>3.7</v>
      </c>
      <c r="F16" s="129">
        <v>4.6</v>
      </c>
      <c r="G16" s="129">
        <v>4.8</v>
      </c>
      <c r="H16" s="129">
        <v>3.2</v>
      </c>
      <c r="I16" s="129">
        <v>6.2</v>
      </c>
      <c r="J16" s="140">
        <v>4.2</v>
      </c>
      <c r="K16" s="129">
        <v>4.6</v>
      </c>
      <c r="L16" s="129">
        <v>4.8</v>
      </c>
      <c r="M16" s="136">
        <f t="shared" si="2"/>
        <v>1142.8571428571431</v>
      </c>
      <c r="N16" s="136">
        <f t="shared" si="3"/>
        <v>1107.142857142857</v>
      </c>
      <c r="O16" s="136">
        <f t="shared" si="4"/>
        <v>1135.135135135135</v>
      </c>
      <c r="P16" s="136">
        <f t="shared" si="5"/>
        <v>1000</v>
      </c>
      <c r="Q16" s="137">
        <f t="shared" si="6"/>
        <v>1000</v>
      </c>
    </row>
    <row r="17" spans="1:17" ht="26.25" customHeight="1">
      <c r="A17" s="2" t="s">
        <v>10</v>
      </c>
      <c r="B17" s="63" t="s">
        <v>2</v>
      </c>
      <c r="C17" s="129">
        <v>0.022</v>
      </c>
      <c r="D17" s="129">
        <v>0.05</v>
      </c>
      <c r="E17" s="129">
        <v>0.05</v>
      </c>
      <c r="F17" s="129">
        <v>0</v>
      </c>
      <c r="G17" s="129">
        <v>0.05</v>
      </c>
      <c r="H17" s="129">
        <v>0.02</v>
      </c>
      <c r="I17" s="129">
        <v>0.03</v>
      </c>
      <c r="J17" s="140">
        <v>0.03</v>
      </c>
      <c r="K17" s="129">
        <v>0.033</v>
      </c>
      <c r="L17" s="129">
        <v>0.051</v>
      </c>
      <c r="M17" s="136">
        <f t="shared" si="2"/>
        <v>909.0909090909091</v>
      </c>
      <c r="N17" s="136">
        <f t="shared" si="3"/>
        <v>600</v>
      </c>
      <c r="O17" s="136">
        <f t="shared" si="4"/>
        <v>600</v>
      </c>
      <c r="P17" s="136">
        <v>0</v>
      </c>
      <c r="Q17" s="137">
        <f t="shared" si="6"/>
        <v>1019.9999999999998</v>
      </c>
    </row>
    <row r="18" spans="1:17" ht="26.25" customHeight="1">
      <c r="A18" s="2" t="s">
        <v>42</v>
      </c>
      <c r="B18" s="63" t="s">
        <v>2</v>
      </c>
      <c r="C18" s="129">
        <v>0</v>
      </c>
      <c r="D18" s="129">
        <v>0.14</v>
      </c>
      <c r="E18" s="129">
        <v>0</v>
      </c>
      <c r="F18" s="129">
        <v>0</v>
      </c>
      <c r="G18" s="129">
        <v>0</v>
      </c>
      <c r="H18" s="129">
        <v>0</v>
      </c>
      <c r="I18" s="129">
        <v>0.09</v>
      </c>
      <c r="J18" s="129">
        <v>0</v>
      </c>
      <c r="K18" s="129">
        <v>0</v>
      </c>
      <c r="L18" s="129">
        <v>0.09</v>
      </c>
      <c r="M18" s="136" t="e">
        <f t="shared" si="2"/>
        <v>#DIV/0!</v>
      </c>
      <c r="N18" s="136">
        <f t="shared" si="3"/>
        <v>642.8571428571428</v>
      </c>
      <c r="O18" s="136">
        <v>0</v>
      </c>
      <c r="P18" s="136">
        <v>0</v>
      </c>
      <c r="Q18" s="136">
        <v>0</v>
      </c>
    </row>
    <row r="19" spans="1:17" ht="26.25" customHeight="1">
      <c r="A19" s="2" t="s">
        <v>51</v>
      </c>
      <c r="B19" s="63" t="s">
        <v>2</v>
      </c>
      <c r="C19" s="129">
        <v>23.52</v>
      </c>
      <c r="D19" s="129">
        <v>22.51</v>
      </c>
      <c r="E19" s="129">
        <v>24.5</v>
      </c>
      <c r="F19" s="129">
        <v>25.048</v>
      </c>
      <c r="G19" s="129">
        <v>27.071</v>
      </c>
      <c r="H19" s="129">
        <v>27.53</v>
      </c>
      <c r="I19" s="129">
        <v>26.87</v>
      </c>
      <c r="J19" s="140">
        <v>24.83</v>
      </c>
      <c r="K19" s="129">
        <v>20.798</v>
      </c>
      <c r="L19" s="129">
        <v>28.394</v>
      </c>
      <c r="M19" s="136">
        <f aca="true" t="shared" si="9" ref="M19:M33">H19/C19*1000</f>
        <v>1170.4931972789116</v>
      </c>
      <c r="N19" s="136">
        <f t="shared" si="3"/>
        <v>1193.691692581075</v>
      </c>
      <c r="O19" s="136">
        <f t="shared" si="4"/>
        <v>1013.4693877551019</v>
      </c>
      <c r="P19" s="136">
        <f t="shared" si="5"/>
        <v>830.3257745129351</v>
      </c>
      <c r="Q19" s="137">
        <f t="shared" si="5"/>
        <v>1048.871486092128</v>
      </c>
    </row>
    <row r="20" spans="1:17" ht="26.25" customHeight="1">
      <c r="A20" s="188" t="s">
        <v>11</v>
      </c>
      <c r="B20" s="2" t="s">
        <v>2</v>
      </c>
      <c r="C20" s="73">
        <v>405</v>
      </c>
      <c r="D20" s="73">
        <v>473</v>
      </c>
      <c r="E20" s="73">
        <v>479</v>
      </c>
      <c r="F20" s="73">
        <v>406</v>
      </c>
      <c r="G20" s="73">
        <v>497</v>
      </c>
      <c r="H20" s="73">
        <v>227</v>
      </c>
      <c r="I20" s="73">
        <v>399</v>
      </c>
      <c r="J20" s="76">
        <v>349</v>
      </c>
      <c r="K20" s="73">
        <v>274</v>
      </c>
      <c r="L20" s="73">
        <v>248</v>
      </c>
      <c r="M20" s="94">
        <f t="shared" si="9"/>
        <v>560.4938271604938</v>
      </c>
      <c r="N20" s="94">
        <f t="shared" si="3"/>
        <v>843.5517970401692</v>
      </c>
      <c r="O20" s="94">
        <f t="shared" si="4"/>
        <v>728.6012526096033</v>
      </c>
      <c r="P20" s="94">
        <f t="shared" si="5"/>
        <v>674.8768472906404</v>
      </c>
      <c r="Q20" s="124">
        <f t="shared" si="5"/>
        <v>498.9939637826962</v>
      </c>
    </row>
    <row r="21" spans="1:17" ht="26.25" customHeight="1">
      <c r="A21" s="188"/>
      <c r="B21" s="2" t="s">
        <v>72</v>
      </c>
      <c r="C21" s="73">
        <v>184</v>
      </c>
      <c r="D21" s="73">
        <v>182</v>
      </c>
      <c r="E21" s="73">
        <v>175</v>
      </c>
      <c r="F21" s="73">
        <f>4+160</f>
        <v>164</v>
      </c>
      <c r="G21" s="73">
        <f>3+166</f>
        <v>169</v>
      </c>
      <c r="H21" s="73">
        <v>168</v>
      </c>
      <c r="I21" s="73">
        <v>166</v>
      </c>
      <c r="J21" s="76">
        <v>153</v>
      </c>
      <c r="K21" s="73">
        <f>7+114</f>
        <v>121</v>
      </c>
      <c r="L21" s="73">
        <f>7+164</f>
        <v>171</v>
      </c>
      <c r="M21" s="94">
        <f t="shared" si="9"/>
        <v>913.0434782608695</v>
      </c>
      <c r="N21" s="94">
        <f t="shared" si="3"/>
        <v>912.0879120879121</v>
      </c>
      <c r="O21" s="94">
        <f t="shared" si="4"/>
        <v>874.2857142857143</v>
      </c>
      <c r="P21" s="94">
        <f t="shared" si="5"/>
        <v>737.8048780487804</v>
      </c>
      <c r="Q21" s="124">
        <f t="shared" si="5"/>
        <v>1011.8343195266273</v>
      </c>
    </row>
    <row r="22" spans="1:17" s="138" customFormat="1" ht="26.25" customHeight="1">
      <c r="A22" s="188"/>
      <c r="B22" s="63" t="s">
        <v>73</v>
      </c>
      <c r="C22" s="75">
        <f>C21+C20</f>
        <v>589</v>
      </c>
      <c r="D22" s="75">
        <f aca="true" t="shared" si="10" ref="D22:L22">D21+D20</f>
        <v>655</v>
      </c>
      <c r="E22" s="75">
        <f t="shared" si="10"/>
        <v>654</v>
      </c>
      <c r="F22" s="75">
        <f t="shared" si="10"/>
        <v>570</v>
      </c>
      <c r="G22" s="75">
        <f t="shared" si="10"/>
        <v>666</v>
      </c>
      <c r="H22" s="75">
        <f t="shared" si="10"/>
        <v>395</v>
      </c>
      <c r="I22" s="75">
        <f t="shared" si="10"/>
        <v>565</v>
      </c>
      <c r="J22" s="75">
        <f t="shared" si="10"/>
        <v>502</v>
      </c>
      <c r="K22" s="75">
        <f t="shared" si="10"/>
        <v>395</v>
      </c>
      <c r="L22" s="75">
        <f t="shared" si="10"/>
        <v>419</v>
      </c>
      <c r="M22" s="136">
        <f t="shared" si="9"/>
        <v>670.6281833616299</v>
      </c>
      <c r="N22" s="136">
        <f t="shared" si="3"/>
        <v>862.5954198473282</v>
      </c>
      <c r="O22" s="136">
        <f t="shared" si="4"/>
        <v>767.5840978593272</v>
      </c>
      <c r="P22" s="136">
        <f t="shared" si="5"/>
        <v>692.9824561403509</v>
      </c>
      <c r="Q22" s="137">
        <f t="shared" si="5"/>
        <v>629.1291291291291</v>
      </c>
    </row>
    <row r="23" spans="1:17" ht="26.25" customHeight="1">
      <c r="A23" s="189" t="s">
        <v>12</v>
      </c>
      <c r="B23" s="2" t="s">
        <v>2</v>
      </c>
      <c r="C23" s="73">
        <v>0.755</v>
      </c>
      <c r="D23" s="73">
        <v>0.28</v>
      </c>
      <c r="E23" s="73">
        <v>0.47</v>
      </c>
      <c r="F23" s="73">
        <v>0.449</v>
      </c>
      <c r="G23" s="73">
        <v>0.358</v>
      </c>
      <c r="H23" s="73">
        <v>0.962</v>
      </c>
      <c r="I23" s="73">
        <v>0.35</v>
      </c>
      <c r="J23" s="76">
        <v>0.67</v>
      </c>
      <c r="K23" s="73">
        <v>0.619</v>
      </c>
      <c r="L23" s="73">
        <v>0.505</v>
      </c>
      <c r="M23" s="94">
        <f t="shared" si="9"/>
        <v>1274.1721854304635</v>
      </c>
      <c r="N23" s="94">
        <f t="shared" si="3"/>
        <v>1249.9999999999998</v>
      </c>
      <c r="O23" s="94">
        <f t="shared" si="4"/>
        <v>1425.531914893617</v>
      </c>
      <c r="P23" s="94">
        <f t="shared" si="5"/>
        <v>1378.619153674833</v>
      </c>
      <c r="Q23" s="124">
        <f t="shared" si="5"/>
        <v>1410.614525139665</v>
      </c>
    </row>
    <row r="24" spans="1:17" ht="26.25" customHeight="1">
      <c r="A24" s="190"/>
      <c r="B24" s="2" t="s">
        <v>72</v>
      </c>
      <c r="C24" s="73">
        <v>0.009</v>
      </c>
      <c r="D24" s="73">
        <v>0.43</v>
      </c>
      <c r="E24" s="73">
        <v>0.01</v>
      </c>
      <c r="F24" s="73">
        <v>0</v>
      </c>
      <c r="G24" s="73">
        <v>0</v>
      </c>
      <c r="H24" s="73">
        <v>0.01</v>
      </c>
      <c r="I24" s="73">
        <v>0.52</v>
      </c>
      <c r="J24" s="76">
        <v>0.02</v>
      </c>
      <c r="K24" s="73">
        <v>0</v>
      </c>
      <c r="L24" s="73">
        <v>0</v>
      </c>
      <c r="M24" s="94">
        <f t="shared" si="9"/>
        <v>1111.111111111111</v>
      </c>
      <c r="N24" s="94">
        <f t="shared" si="3"/>
        <v>1209.3023255813955</v>
      </c>
      <c r="O24" s="94">
        <f t="shared" si="4"/>
        <v>2000</v>
      </c>
      <c r="P24" s="94">
        <v>0</v>
      </c>
      <c r="Q24" s="94">
        <v>0</v>
      </c>
    </row>
    <row r="25" spans="1:17" s="138" customFormat="1" ht="26.25" customHeight="1">
      <c r="A25" s="191"/>
      <c r="B25" s="63" t="s">
        <v>73</v>
      </c>
      <c r="C25" s="141">
        <f>C24+C23</f>
        <v>0.764</v>
      </c>
      <c r="D25" s="141">
        <f aca="true" t="shared" si="11" ref="D25:L25">D24+D23</f>
        <v>0.71</v>
      </c>
      <c r="E25" s="141">
        <f t="shared" si="11"/>
        <v>0.48</v>
      </c>
      <c r="F25" s="141">
        <f t="shared" si="11"/>
        <v>0.449</v>
      </c>
      <c r="G25" s="141">
        <f t="shared" si="11"/>
        <v>0.358</v>
      </c>
      <c r="H25" s="141">
        <f t="shared" si="11"/>
        <v>0.972</v>
      </c>
      <c r="I25" s="141">
        <f t="shared" si="11"/>
        <v>0.87</v>
      </c>
      <c r="J25" s="141">
        <f t="shared" si="11"/>
        <v>0.6900000000000001</v>
      </c>
      <c r="K25" s="141">
        <f t="shared" si="11"/>
        <v>0.619</v>
      </c>
      <c r="L25" s="141">
        <f t="shared" si="11"/>
        <v>0.505</v>
      </c>
      <c r="M25" s="136">
        <f t="shared" si="9"/>
        <v>1272.2513089005233</v>
      </c>
      <c r="N25" s="136">
        <f t="shared" si="3"/>
        <v>1225.3521126760565</v>
      </c>
      <c r="O25" s="136">
        <f t="shared" si="4"/>
        <v>1437.5000000000002</v>
      </c>
      <c r="P25" s="136">
        <f t="shared" si="5"/>
        <v>1378.619153674833</v>
      </c>
      <c r="Q25" s="137">
        <f t="shared" si="5"/>
        <v>1410.614525139665</v>
      </c>
    </row>
    <row r="26" spans="1:17" s="138" customFormat="1" ht="26.25" customHeight="1">
      <c r="A26" s="2" t="s">
        <v>13</v>
      </c>
      <c r="B26" s="63" t="s">
        <v>2</v>
      </c>
      <c r="C26" s="129">
        <v>205.7</v>
      </c>
      <c r="D26" s="129">
        <v>206.9</v>
      </c>
      <c r="E26" s="129">
        <v>231</v>
      </c>
      <c r="F26" s="129">
        <v>236</v>
      </c>
      <c r="G26" s="129">
        <v>255</v>
      </c>
      <c r="H26" s="129">
        <v>311.7</v>
      </c>
      <c r="I26" s="129">
        <v>324.2</v>
      </c>
      <c r="J26" s="140">
        <v>370</v>
      </c>
      <c r="K26" s="129">
        <v>331.5564</v>
      </c>
      <c r="L26" s="129">
        <v>378</v>
      </c>
      <c r="M26" s="136">
        <f t="shared" si="9"/>
        <v>1515.3135634419057</v>
      </c>
      <c r="N26" s="136">
        <f t="shared" si="3"/>
        <v>1566.9405509908167</v>
      </c>
      <c r="O26" s="136">
        <f t="shared" si="4"/>
        <v>1601.7316017316016</v>
      </c>
      <c r="P26" s="136">
        <f t="shared" si="5"/>
        <v>1404.9</v>
      </c>
      <c r="Q26" s="137">
        <f t="shared" si="5"/>
        <v>1482.3529411764707</v>
      </c>
    </row>
    <row r="27" spans="1:17" ht="26.25" customHeight="1">
      <c r="A27" s="198" t="s">
        <v>14</v>
      </c>
      <c r="B27" s="10" t="s">
        <v>2</v>
      </c>
      <c r="C27" s="73">
        <v>238</v>
      </c>
      <c r="D27" s="73">
        <v>244</v>
      </c>
      <c r="E27" s="73">
        <v>244</v>
      </c>
      <c r="F27" s="73">
        <v>224</v>
      </c>
      <c r="G27" s="73">
        <v>235</v>
      </c>
      <c r="H27" s="73">
        <v>236</v>
      </c>
      <c r="I27" s="73">
        <v>296</v>
      </c>
      <c r="J27" s="76">
        <v>253</v>
      </c>
      <c r="K27" s="73">
        <v>217</v>
      </c>
      <c r="L27" s="73">
        <v>286.9</v>
      </c>
      <c r="M27" s="94">
        <f t="shared" si="9"/>
        <v>991.5966386554622</v>
      </c>
      <c r="N27" s="94">
        <f t="shared" si="3"/>
        <v>1213.1147540983607</v>
      </c>
      <c r="O27" s="94">
        <f t="shared" si="4"/>
        <v>1036.8852459016393</v>
      </c>
      <c r="P27" s="94">
        <f t="shared" si="5"/>
        <v>968.75</v>
      </c>
      <c r="Q27" s="124">
        <f t="shared" si="5"/>
        <v>1220.851063829787</v>
      </c>
    </row>
    <row r="28" spans="1:17" ht="26.25" customHeight="1">
      <c r="A28" s="198"/>
      <c r="B28" s="10" t="s">
        <v>72</v>
      </c>
      <c r="C28" s="73">
        <v>32</v>
      </c>
      <c r="D28" s="73">
        <v>71</v>
      </c>
      <c r="E28" s="73">
        <v>83</v>
      </c>
      <c r="F28" s="73">
        <v>85</v>
      </c>
      <c r="G28" s="73">
        <v>119.9</v>
      </c>
      <c r="H28" s="73">
        <v>49</v>
      </c>
      <c r="I28" s="73">
        <v>97</v>
      </c>
      <c r="J28" s="76">
        <v>126</v>
      </c>
      <c r="K28" s="73">
        <v>117</v>
      </c>
      <c r="L28" s="73">
        <v>133.4</v>
      </c>
      <c r="M28" s="94">
        <f t="shared" si="9"/>
        <v>1531.25</v>
      </c>
      <c r="N28" s="94">
        <f t="shared" si="3"/>
        <v>1366.1971830985915</v>
      </c>
      <c r="O28" s="94">
        <f t="shared" si="4"/>
        <v>1518.0722891566265</v>
      </c>
      <c r="P28" s="94">
        <f t="shared" si="5"/>
        <v>1376.4705882352941</v>
      </c>
      <c r="Q28" s="124">
        <f t="shared" si="5"/>
        <v>1112.5938281901583</v>
      </c>
    </row>
    <row r="29" spans="1:17" s="138" customFormat="1" ht="26.25" customHeight="1">
      <c r="A29" s="198"/>
      <c r="B29" s="142" t="s">
        <v>73</v>
      </c>
      <c r="C29" s="141">
        <f>C28+C27</f>
        <v>270</v>
      </c>
      <c r="D29" s="141">
        <f aca="true" t="shared" si="12" ref="D29:L29">D28+D27</f>
        <v>315</v>
      </c>
      <c r="E29" s="141">
        <f t="shared" si="12"/>
        <v>327</v>
      </c>
      <c r="F29" s="141">
        <f t="shared" si="12"/>
        <v>309</v>
      </c>
      <c r="G29" s="141">
        <f t="shared" si="12"/>
        <v>354.9</v>
      </c>
      <c r="H29" s="141">
        <f t="shared" si="12"/>
        <v>285</v>
      </c>
      <c r="I29" s="141">
        <f t="shared" si="12"/>
        <v>393</v>
      </c>
      <c r="J29" s="141">
        <f t="shared" si="12"/>
        <v>379</v>
      </c>
      <c r="K29" s="141">
        <f t="shared" si="12"/>
        <v>334</v>
      </c>
      <c r="L29" s="141">
        <f t="shared" si="12"/>
        <v>420.29999999999995</v>
      </c>
      <c r="M29" s="136">
        <f t="shared" si="9"/>
        <v>1055.5555555555557</v>
      </c>
      <c r="N29" s="136">
        <f t="shared" si="3"/>
        <v>1247.6190476190477</v>
      </c>
      <c r="O29" s="136">
        <f t="shared" si="4"/>
        <v>1159.021406727829</v>
      </c>
      <c r="P29" s="136">
        <f t="shared" si="5"/>
        <v>1080.906148867314</v>
      </c>
      <c r="Q29" s="137">
        <f t="shared" si="5"/>
        <v>1184.277261200338</v>
      </c>
    </row>
    <row r="30" spans="1:17" ht="26.25" customHeight="1">
      <c r="A30" s="193" t="s">
        <v>37</v>
      </c>
      <c r="B30" s="10" t="s">
        <v>2</v>
      </c>
      <c r="C30" s="8">
        <v>0</v>
      </c>
      <c r="D30" s="73">
        <v>3.18</v>
      </c>
      <c r="E30" s="74">
        <v>3.1</v>
      </c>
      <c r="F30" s="73">
        <v>0</v>
      </c>
      <c r="G30" s="73">
        <v>0</v>
      </c>
      <c r="H30" s="74">
        <v>0</v>
      </c>
      <c r="I30" s="73">
        <v>2.56</v>
      </c>
      <c r="J30" s="77">
        <v>2.54</v>
      </c>
      <c r="K30" s="73">
        <v>0</v>
      </c>
      <c r="L30" s="73">
        <v>0</v>
      </c>
      <c r="M30" s="94">
        <f>H30/C31*1000</f>
        <v>0</v>
      </c>
      <c r="N30" s="94">
        <f t="shared" si="3"/>
        <v>805.0314465408804</v>
      </c>
      <c r="O30" s="94">
        <f t="shared" si="4"/>
        <v>819.3548387096774</v>
      </c>
      <c r="P30" s="94">
        <v>0</v>
      </c>
      <c r="Q30" s="94">
        <v>0</v>
      </c>
    </row>
    <row r="31" spans="1:17" ht="26.25" customHeight="1">
      <c r="A31" s="194"/>
      <c r="B31" s="10" t="s">
        <v>72</v>
      </c>
      <c r="C31" s="74">
        <v>0.25</v>
      </c>
      <c r="D31" s="8">
        <v>0</v>
      </c>
      <c r="E31" s="73">
        <v>0</v>
      </c>
      <c r="F31" s="73">
        <v>3.38</v>
      </c>
      <c r="G31" s="73">
        <v>3.38</v>
      </c>
      <c r="H31" s="73">
        <v>0.6</v>
      </c>
      <c r="I31" s="73">
        <v>0</v>
      </c>
      <c r="J31" s="73">
        <v>0</v>
      </c>
      <c r="K31" s="73">
        <v>2.97</v>
      </c>
      <c r="L31" s="73">
        <v>3</v>
      </c>
      <c r="M31" s="94">
        <f>H31/C32*1000</f>
        <v>2400</v>
      </c>
      <c r="N31" s="94">
        <f>I31/D30*1000</f>
        <v>0</v>
      </c>
      <c r="O31" s="94">
        <v>0</v>
      </c>
      <c r="P31" s="94">
        <f aca="true" t="shared" si="13" ref="M31:P32">K31/F31*1000</f>
        <v>878.698224852071</v>
      </c>
      <c r="Q31" s="124">
        <f t="shared" si="5"/>
        <v>887.5739644970414</v>
      </c>
    </row>
    <row r="32" spans="1:17" s="138" customFormat="1" ht="26.25" customHeight="1">
      <c r="A32" s="195"/>
      <c r="B32" s="142" t="s">
        <v>73</v>
      </c>
      <c r="C32" s="129">
        <f aca="true" t="shared" si="14" ref="C32:L32">C30+C31</f>
        <v>0.25</v>
      </c>
      <c r="D32" s="129">
        <f t="shared" si="14"/>
        <v>3.18</v>
      </c>
      <c r="E32" s="129">
        <f t="shared" si="14"/>
        <v>3.1</v>
      </c>
      <c r="F32" s="129">
        <f t="shared" si="14"/>
        <v>3.38</v>
      </c>
      <c r="G32" s="129">
        <f t="shared" si="14"/>
        <v>3.38</v>
      </c>
      <c r="H32" s="129">
        <f t="shared" si="14"/>
        <v>0.6</v>
      </c>
      <c r="I32" s="129">
        <f t="shared" si="14"/>
        <v>2.56</v>
      </c>
      <c r="J32" s="129">
        <f t="shared" si="14"/>
        <v>2.54</v>
      </c>
      <c r="K32" s="129">
        <f t="shared" si="14"/>
        <v>2.97</v>
      </c>
      <c r="L32" s="129">
        <f t="shared" si="14"/>
        <v>3</v>
      </c>
      <c r="M32" s="136">
        <f t="shared" si="13"/>
        <v>2400</v>
      </c>
      <c r="N32" s="136">
        <f t="shared" si="13"/>
        <v>805.0314465408804</v>
      </c>
      <c r="O32" s="136">
        <f t="shared" si="13"/>
        <v>819.3548387096774</v>
      </c>
      <c r="P32" s="136">
        <f t="shared" si="13"/>
        <v>878.698224852071</v>
      </c>
      <c r="Q32" s="137">
        <f t="shared" si="5"/>
        <v>887.5739644970414</v>
      </c>
    </row>
    <row r="33" spans="1:17" s="125" customFormat="1" ht="26.25" customHeight="1">
      <c r="A33" s="2" t="s">
        <v>15</v>
      </c>
      <c r="B33" s="63" t="s">
        <v>2</v>
      </c>
      <c r="C33" s="129">
        <v>0.81</v>
      </c>
      <c r="D33" s="129">
        <v>0.86</v>
      </c>
      <c r="E33" s="129">
        <v>0.86</v>
      </c>
      <c r="F33" s="129">
        <v>0.89</v>
      </c>
      <c r="G33" s="129">
        <v>0.93</v>
      </c>
      <c r="H33" s="129">
        <v>0.82</v>
      </c>
      <c r="I33" s="129">
        <v>0.88</v>
      </c>
      <c r="J33" s="140">
        <v>0.88</v>
      </c>
      <c r="K33" s="129">
        <v>0.92</v>
      </c>
      <c r="L33" s="129">
        <v>0.96</v>
      </c>
      <c r="M33" s="136">
        <f t="shared" si="9"/>
        <v>1012.3456790123455</v>
      </c>
      <c r="N33" s="136">
        <f t="shared" si="3"/>
        <v>1023.2558139534884</v>
      </c>
      <c r="O33" s="136">
        <f t="shared" si="4"/>
        <v>1023.2558139534884</v>
      </c>
      <c r="P33" s="136">
        <f t="shared" si="5"/>
        <v>1033.7078651685395</v>
      </c>
      <c r="Q33" s="137">
        <f t="shared" si="5"/>
        <v>1032.258064516129</v>
      </c>
    </row>
    <row r="34" spans="1:17" s="9" customFormat="1" ht="22.5" customHeight="1">
      <c r="A34" s="26"/>
      <c r="B34" s="26"/>
      <c r="C34" s="78"/>
      <c r="D34" s="78"/>
      <c r="E34" s="78"/>
      <c r="F34" s="93"/>
      <c r="G34" s="93"/>
      <c r="H34" s="78"/>
      <c r="I34" s="78"/>
      <c r="J34" s="78"/>
      <c r="K34" s="79"/>
      <c r="L34" s="79"/>
      <c r="M34" s="95"/>
      <c r="N34" s="96"/>
      <c r="O34" s="97" t="s">
        <v>87</v>
      </c>
      <c r="P34" s="97"/>
      <c r="Q34" s="95"/>
    </row>
    <row r="35" spans="1:17" ht="22.5" customHeight="1">
      <c r="A35" s="200" t="s">
        <v>125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1"/>
    </row>
    <row r="36" spans="1:17" ht="19.5" customHeight="1">
      <c r="A36" s="184" t="s">
        <v>78</v>
      </c>
      <c r="B36" s="184" t="s">
        <v>80</v>
      </c>
      <c r="C36" s="185" t="s">
        <v>81</v>
      </c>
      <c r="D36" s="186"/>
      <c r="E36" s="186"/>
      <c r="F36" s="186"/>
      <c r="G36" s="187"/>
      <c r="H36" s="185" t="s">
        <v>82</v>
      </c>
      <c r="I36" s="186"/>
      <c r="J36" s="186"/>
      <c r="K36" s="186"/>
      <c r="L36" s="187"/>
      <c r="M36" s="184" t="s">
        <v>79</v>
      </c>
      <c r="N36" s="184"/>
      <c r="O36" s="184"/>
      <c r="P36" s="184"/>
      <c r="Q36" s="185"/>
    </row>
    <row r="37" spans="1:17" ht="25.5" customHeight="1">
      <c r="A37" s="184"/>
      <c r="B37" s="184"/>
      <c r="C37" s="127" t="s">
        <v>112</v>
      </c>
      <c r="D37" s="127" t="s">
        <v>113</v>
      </c>
      <c r="E37" s="127" t="s">
        <v>115</v>
      </c>
      <c r="F37" s="133" t="s">
        <v>121</v>
      </c>
      <c r="G37" s="133" t="s">
        <v>122</v>
      </c>
      <c r="H37" s="127" t="s">
        <v>112</v>
      </c>
      <c r="I37" s="127" t="s">
        <v>113</v>
      </c>
      <c r="J37" s="127" t="s">
        <v>115</v>
      </c>
      <c r="K37" s="127" t="s">
        <v>121</v>
      </c>
      <c r="L37" s="133" t="s">
        <v>122</v>
      </c>
      <c r="M37" s="127" t="s">
        <v>112</v>
      </c>
      <c r="N37" s="127" t="s">
        <v>113</v>
      </c>
      <c r="O37" s="127" t="s">
        <v>115</v>
      </c>
      <c r="P37" s="127" t="s">
        <v>121</v>
      </c>
      <c r="Q37" s="134" t="s">
        <v>122</v>
      </c>
    </row>
    <row r="38" spans="1:17" ht="24.75" customHeight="1">
      <c r="A38" s="188" t="s">
        <v>111</v>
      </c>
      <c r="B38" s="2" t="s">
        <v>2</v>
      </c>
      <c r="C38" s="73">
        <v>27.67</v>
      </c>
      <c r="D38" s="73">
        <v>25.83</v>
      </c>
      <c r="E38" s="73">
        <v>22.44</v>
      </c>
      <c r="F38" s="73">
        <f>16.98+1.41</f>
        <v>18.39</v>
      </c>
      <c r="G38" s="73">
        <f>21.19+4.36</f>
        <v>25.55</v>
      </c>
      <c r="H38" s="73">
        <v>29.62</v>
      </c>
      <c r="I38" s="73">
        <v>28.72</v>
      </c>
      <c r="J38" s="73">
        <v>23.11</v>
      </c>
      <c r="K38" s="73">
        <f>13.59+1.81</f>
        <v>15.4</v>
      </c>
      <c r="L38" s="73">
        <f>20.03+5.47</f>
        <v>25.5</v>
      </c>
      <c r="M38" s="94">
        <f aca="true" t="shared" si="15" ref="M38:M65">H38/C38*1000</f>
        <v>1070.473436935309</v>
      </c>
      <c r="N38" s="94">
        <f aca="true" t="shared" si="16" ref="N38:N65">I38/D38*1000</f>
        <v>1111.8854045683315</v>
      </c>
      <c r="O38" s="94">
        <f aca="true" t="shared" si="17" ref="O38:O65">J38/E38*1000</f>
        <v>1029.8573975044562</v>
      </c>
      <c r="P38" s="94">
        <f aca="true" t="shared" si="18" ref="P38:P65">K38/F38*1000</f>
        <v>837.4116367591082</v>
      </c>
      <c r="Q38" s="124">
        <f aca="true" t="shared" si="19" ref="Q38:Q65">L38/G38*1000</f>
        <v>998.0430528375733</v>
      </c>
    </row>
    <row r="39" spans="1:17" ht="24.75" customHeight="1">
      <c r="A39" s="188"/>
      <c r="B39" s="2" t="s">
        <v>72</v>
      </c>
      <c r="C39" s="73">
        <v>38.68</v>
      </c>
      <c r="D39" s="73">
        <v>34.06</v>
      </c>
      <c r="E39" s="73">
        <v>26.4</v>
      </c>
      <c r="F39" s="73">
        <v>32.82</v>
      </c>
      <c r="G39" s="73">
        <v>19.39</v>
      </c>
      <c r="H39" s="73">
        <v>52.03</v>
      </c>
      <c r="I39" s="73">
        <v>58.05</v>
      </c>
      <c r="J39" s="73">
        <v>38.84</v>
      </c>
      <c r="K39" s="73">
        <v>40.76</v>
      </c>
      <c r="L39" s="73">
        <v>29.73</v>
      </c>
      <c r="M39" s="94">
        <f t="shared" si="15"/>
        <v>1345.139607032058</v>
      </c>
      <c r="N39" s="94">
        <f t="shared" si="16"/>
        <v>1704.345273047563</v>
      </c>
      <c r="O39" s="94">
        <f t="shared" si="17"/>
        <v>1471.2121212121215</v>
      </c>
      <c r="P39" s="94">
        <f t="shared" si="18"/>
        <v>1241.9256550883606</v>
      </c>
      <c r="Q39" s="124">
        <f t="shared" si="19"/>
        <v>1533.2645693656523</v>
      </c>
    </row>
    <row r="40" spans="1:17" s="138" customFormat="1" ht="24.75" customHeight="1">
      <c r="A40" s="188"/>
      <c r="B40" s="63" t="s">
        <v>73</v>
      </c>
      <c r="C40" s="75">
        <f>C39+C38</f>
        <v>66.35</v>
      </c>
      <c r="D40" s="75">
        <f aca="true" t="shared" si="20" ref="D40:L40">D39+D38</f>
        <v>59.89</v>
      </c>
      <c r="E40" s="75">
        <f t="shared" si="20"/>
        <v>48.84</v>
      </c>
      <c r="F40" s="75">
        <f t="shared" si="20"/>
        <v>51.21</v>
      </c>
      <c r="G40" s="75">
        <f t="shared" si="20"/>
        <v>44.94</v>
      </c>
      <c r="H40" s="75">
        <f t="shared" si="20"/>
        <v>81.65</v>
      </c>
      <c r="I40" s="75">
        <f t="shared" si="20"/>
        <v>86.77</v>
      </c>
      <c r="J40" s="75">
        <f t="shared" si="20"/>
        <v>61.95</v>
      </c>
      <c r="K40" s="75">
        <f t="shared" si="20"/>
        <v>56.16</v>
      </c>
      <c r="L40" s="75">
        <f t="shared" si="20"/>
        <v>55.230000000000004</v>
      </c>
      <c r="M40" s="136">
        <f t="shared" si="15"/>
        <v>1230.5953278070838</v>
      </c>
      <c r="N40" s="136">
        <f t="shared" si="16"/>
        <v>1448.822841876774</v>
      </c>
      <c r="O40" s="136">
        <f t="shared" si="17"/>
        <v>1268.4275184275184</v>
      </c>
      <c r="P40" s="136">
        <f t="shared" si="18"/>
        <v>1096.6608084358522</v>
      </c>
      <c r="Q40" s="137">
        <f t="shared" si="19"/>
        <v>1228.9719626168226</v>
      </c>
    </row>
    <row r="41" spans="1:17" s="138" customFormat="1" ht="24.75" customHeight="1">
      <c r="A41" s="2" t="s">
        <v>17</v>
      </c>
      <c r="B41" s="63" t="s">
        <v>2</v>
      </c>
      <c r="C41" s="129">
        <v>1.7</v>
      </c>
      <c r="D41" s="129">
        <v>1.3</v>
      </c>
      <c r="E41" s="129">
        <v>1.4</v>
      </c>
      <c r="F41" s="129">
        <v>1</v>
      </c>
      <c r="G41" s="129">
        <v>1.2</v>
      </c>
      <c r="H41" s="129">
        <v>3</v>
      </c>
      <c r="I41" s="129">
        <v>2.4</v>
      </c>
      <c r="J41" s="140">
        <v>2.6</v>
      </c>
      <c r="K41" s="129">
        <v>1.9</v>
      </c>
      <c r="L41" s="129">
        <v>2.3</v>
      </c>
      <c r="M41" s="136">
        <f t="shared" si="15"/>
        <v>1764.7058823529412</v>
      </c>
      <c r="N41" s="136">
        <f t="shared" si="16"/>
        <v>1846.153846153846</v>
      </c>
      <c r="O41" s="136">
        <f t="shared" si="17"/>
        <v>1857.1428571428573</v>
      </c>
      <c r="P41" s="136">
        <f t="shared" si="18"/>
        <v>1900</v>
      </c>
      <c r="Q41" s="137">
        <f t="shared" si="19"/>
        <v>1916.6666666666665</v>
      </c>
    </row>
    <row r="42" spans="1:17" ht="24.75" customHeight="1">
      <c r="A42" s="189" t="s">
        <v>18</v>
      </c>
      <c r="B42" s="2" t="s">
        <v>2</v>
      </c>
      <c r="C42" s="73">
        <v>397.81</v>
      </c>
      <c r="D42" s="73">
        <v>461.98</v>
      </c>
      <c r="E42" s="73">
        <v>500.82</v>
      </c>
      <c r="F42" s="73">
        <v>516.85</v>
      </c>
      <c r="G42" s="73">
        <v>556.091</v>
      </c>
      <c r="H42" s="73">
        <v>616.35</v>
      </c>
      <c r="I42" s="73">
        <v>900.93</v>
      </c>
      <c r="J42" s="76">
        <v>1011.2</v>
      </c>
      <c r="K42" s="73">
        <v>1048.718</v>
      </c>
      <c r="L42" s="73">
        <v>1140.614</v>
      </c>
      <c r="M42" s="94">
        <f t="shared" si="15"/>
        <v>1549.357733591413</v>
      </c>
      <c r="N42" s="94">
        <f t="shared" si="16"/>
        <v>1950.1493571150263</v>
      </c>
      <c r="O42" s="94">
        <f t="shared" si="17"/>
        <v>2019.0886945409527</v>
      </c>
      <c r="P42" s="94">
        <f t="shared" si="18"/>
        <v>2029.0567863016352</v>
      </c>
      <c r="Q42" s="124">
        <f t="shared" si="19"/>
        <v>2051.1283225227526</v>
      </c>
    </row>
    <row r="43" spans="1:17" ht="24.75" customHeight="1">
      <c r="A43" s="190"/>
      <c r="B43" s="2" t="s">
        <v>72</v>
      </c>
      <c r="C43" s="73">
        <v>0.7</v>
      </c>
      <c r="D43" s="73">
        <v>0</v>
      </c>
      <c r="E43" s="73">
        <v>0</v>
      </c>
      <c r="F43" s="73">
        <v>0</v>
      </c>
      <c r="G43" s="73">
        <v>0</v>
      </c>
      <c r="H43" s="73">
        <v>0.9</v>
      </c>
      <c r="I43" s="73">
        <v>0</v>
      </c>
      <c r="J43" s="73">
        <v>0</v>
      </c>
      <c r="K43" s="73">
        <v>0</v>
      </c>
      <c r="L43" s="73">
        <v>0</v>
      </c>
      <c r="M43" s="94">
        <f t="shared" si="15"/>
        <v>1285.7142857142858</v>
      </c>
      <c r="N43" s="94">
        <v>0</v>
      </c>
      <c r="O43" s="94">
        <v>0</v>
      </c>
      <c r="P43" s="94">
        <v>0</v>
      </c>
      <c r="Q43" s="94">
        <v>0</v>
      </c>
    </row>
    <row r="44" spans="1:17" s="138" customFormat="1" ht="24.75" customHeight="1">
      <c r="A44" s="191"/>
      <c r="B44" s="63" t="s">
        <v>73</v>
      </c>
      <c r="C44" s="75">
        <f>C43+C42</f>
        <v>398.51</v>
      </c>
      <c r="D44" s="75">
        <f aca="true" t="shared" si="21" ref="D44:L44">D43+D42</f>
        <v>461.98</v>
      </c>
      <c r="E44" s="75">
        <f t="shared" si="21"/>
        <v>500.82</v>
      </c>
      <c r="F44" s="75">
        <f t="shared" si="21"/>
        <v>516.85</v>
      </c>
      <c r="G44" s="75">
        <f t="shared" si="21"/>
        <v>556.091</v>
      </c>
      <c r="H44" s="75">
        <f t="shared" si="21"/>
        <v>617.25</v>
      </c>
      <c r="I44" s="75">
        <f t="shared" si="21"/>
        <v>900.93</v>
      </c>
      <c r="J44" s="75">
        <f t="shared" si="21"/>
        <v>1011.2</v>
      </c>
      <c r="K44" s="75">
        <f t="shared" si="21"/>
        <v>1048.718</v>
      </c>
      <c r="L44" s="75">
        <f t="shared" si="21"/>
        <v>1140.614</v>
      </c>
      <c r="M44" s="136">
        <f t="shared" si="15"/>
        <v>1548.8946325060854</v>
      </c>
      <c r="N44" s="136">
        <f t="shared" si="16"/>
        <v>1950.1493571150263</v>
      </c>
      <c r="O44" s="136">
        <f t="shared" si="17"/>
        <v>2019.0886945409527</v>
      </c>
      <c r="P44" s="136">
        <f t="shared" si="18"/>
        <v>2029.0567863016352</v>
      </c>
      <c r="Q44" s="137">
        <f t="shared" si="19"/>
        <v>2051.1283225227526</v>
      </c>
    </row>
    <row r="45" spans="1:17" ht="24.75" customHeight="1">
      <c r="A45" s="188" t="s">
        <v>19</v>
      </c>
      <c r="B45" s="2" t="s">
        <v>2</v>
      </c>
      <c r="C45" s="73">
        <v>224.02</v>
      </c>
      <c r="D45" s="73">
        <v>215.83</v>
      </c>
      <c r="E45" s="73">
        <v>210.29</v>
      </c>
      <c r="F45" s="73">
        <v>222.82</v>
      </c>
      <c r="G45" s="73">
        <v>194.72</v>
      </c>
      <c r="H45" s="73">
        <v>423.32</v>
      </c>
      <c r="I45" s="73">
        <v>477.6</v>
      </c>
      <c r="J45" s="76">
        <v>491.98</v>
      </c>
      <c r="K45" s="73">
        <v>484.64</v>
      </c>
      <c r="L45" s="73">
        <v>305.19</v>
      </c>
      <c r="M45" s="94">
        <f t="shared" si="15"/>
        <v>1889.6527095795018</v>
      </c>
      <c r="N45" s="94">
        <f t="shared" si="16"/>
        <v>2212.852708149933</v>
      </c>
      <c r="O45" s="94">
        <f t="shared" si="17"/>
        <v>2339.531123686338</v>
      </c>
      <c r="P45" s="94">
        <f t="shared" si="18"/>
        <v>2175.029171528588</v>
      </c>
      <c r="Q45" s="124">
        <f t="shared" si="19"/>
        <v>1567.3274445357438</v>
      </c>
    </row>
    <row r="46" spans="1:17" ht="24.75" customHeight="1">
      <c r="A46" s="188"/>
      <c r="B46" s="2" t="s">
        <v>72</v>
      </c>
      <c r="C46" s="73">
        <v>114.3</v>
      </c>
      <c r="D46" s="73">
        <v>120.8</v>
      </c>
      <c r="E46" s="73">
        <v>126.23</v>
      </c>
      <c r="F46" s="73">
        <v>123.79</v>
      </c>
      <c r="G46" s="73">
        <v>87.77</v>
      </c>
      <c r="H46" s="73">
        <v>359.89</v>
      </c>
      <c r="I46" s="73">
        <v>438.29</v>
      </c>
      <c r="J46" s="76">
        <v>434.43</v>
      </c>
      <c r="K46" s="73">
        <v>407.65</v>
      </c>
      <c r="L46" s="73">
        <v>283.66</v>
      </c>
      <c r="M46" s="94">
        <f t="shared" si="15"/>
        <v>3148.643919510061</v>
      </c>
      <c r="N46" s="94">
        <f t="shared" si="16"/>
        <v>3628.228476821192</v>
      </c>
      <c r="O46" s="94">
        <f t="shared" si="17"/>
        <v>3441.5749029549233</v>
      </c>
      <c r="P46" s="94">
        <f t="shared" si="18"/>
        <v>3293.076985216899</v>
      </c>
      <c r="Q46" s="124">
        <f t="shared" si="19"/>
        <v>3231.8559872393757</v>
      </c>
    </row>
    <row r="47" spans="1:17" s="138" customFormat="1" ht="24.75" customHeight="1">
      <c r="A47" s="188"/>
      <c r="B47" s="63" t="s">
        <v>73</v>
      </c>
      <c r="C47" s="75">
        <f>C46+C45</f>
        <v>338.32</v>
      </c>
      <c r="D47" s="75">
        <f aca="true" t="shared" si="22" ref="D47:L47">D46+D45</f>
        <v>336.63</v>
      </c>
      <c r="E47" s="75">
        <f t="shared" si="22"/>
        <v>336.52</v>
      </c>
      <c r="F47" s="75">
        <f t="shared" si="22"/>
        <v>346.61</v>
      </c>
      <c r="G47" s="75">
        <f t="shared" si="22"/>
        <v>282.49</v>
      </c>
      <c r="H47" s="75">
        <f t="shared" si="22"/>
        <v>783.21</v>
      </c>
      <c r="I47" s="75">
        <f t="shared" si="22"/>
        <v>915.8900000000001</v>
      </c>
      <c r="J47" s="75">
        <f t="shared" si="22"/>
        <v>926.4100000000001</v>
      </c>
      <c r="K47" s="75">
        <f t="shared" si="22"/>
        <v>892.29</v>
      </c>
      <c r="L47" s="75">
        <f t="shared" si="22"/>
        <v>588.85</v>
      </c>
      <c r="M47" s="136">
        <f t="shared" si="15"/>
        <v>2314.9976353747934</v>
      </c>
      <c r="N47" s="136">
        <f t="shared" si="16"/>
        <v>2720.76166711226</v>
      </c>
      <c r="O47" s="136">
        <f t="shared" si="17"/>
        <v>2752.912159752764</v>
      </c>
      <c r="P47" s="136">
        <f t="shared" si="18"/>
        <v>2574.3342661781253</v>
      </c>
      <c r="Q47" s="137">
        <f t="shared" si="19"/>
        <v>2084.498566320932</v>
      </c>
    </row>
    <row r="48" spans="1:17" ht="24.75" customHeight="1">
      <c r="A48" s="188" t="s">
        <v>116</v>
      </c>
      <c r="B48" s="2" t="s">
        <v>2</v>
      </c>
      <c r="C48" s="74">
        <v>16</v>
      </c>
      <c r="D48" s="74">
        <v>21</v>
      </c>
      <c r="E48" s="74">
        <v>13</v>
      </c>
      <c r="F48" s="73">
        <v>14</v>
      </c>
      <c r="G48" s="73">
        <v>26</v>
      </c>
      <c r="H48" s="74">
        <v>24</v>
      </c>
      <c r="I48" s="74">
        <v>32</v>
      </c>
      <c r="J48" s="77">
        <v>22</v>
      </c>
      <c r="K48" s="73">
        <v>21</v>
      </c>
      <c r="L48" s="73">
        <v>52</v>
      </c>
      <c r="M48" s="94">
        <f t="shared" si="15"/>
        <v>1500</v>
      </c>
      <c r="N48" s="94">
        <f t="shared" si="16"/>
        <v>1523.8095238095236</v>
      </c>
      <c r="O48" s="94">
        <f t="shared" si="17"/>
        <v>1692.3076923076924</v>
      </c>
      <c r="P48" s="94">
        <f t="shared" si="18"/>
        <v>1500</v>
      </c>
      <c r="Q48" s="124">
        <f t="shared" si="19"/>
        <v>2000</v>
      </c>
    </row>
    <row r="49" spans="1:17" ht="24.75" customHeight="1">
      <c r="A49" s="188"/>
      <c r="B49" s="2" t="s">
        <v>72</v>
      </c>
      <c r="C49" s="74">
        <v>171</v>
      </c>
      <c r="D49" s="74">
        <v>188.7</v>
      </c>
      <c r="E49" s="74">
        <v>142</v>
      </c>
      <c r="F49" s="73">
        <v>114</v>
      </c>
      <c r="G49" s="73">
        <v>140</v>
      </c>
      <c r="H49" s="74">
        <v>310.6</v>
      </c>
      <c r="I49" s="74">
        <v>322.7</v>
      </c>
      <c r="J49" s="77">
        <v>274</v>
      </c>
      <c r="K49" s="73">
        <v>185</v>
      </c>
      <c r="L49" s="73">
        <v>290</v>
      </c>
      <c r="M49" s="94">
        <f t="shared" si="15"/>
        <v>1816.3742690058482</v>
      </c>
      <c r="N49" s="94">
        <f t="shared" si="16"/>
        <v>1710.1218865924748</v>
      </c>
      <c r="O49" s="94">
        <f t="shared" si="17"/>
        <v>1929.5774647887324</v>
      </c>
      <c r="P49" s="94">
        <f t="shared" si="18"/>
        <v>1622.8070175438595</v>
      </c>
      <c r="Q49" s="124">
        <f t="shared" si="19"/>
        <v>2071.4285714285716</v>
      </c>
    </row>
    <row r="50" spans="1:17" s="138" customFormat="1" ht="24.75" customHeight="1">
      <c r="A50" s="188"/>
      <c r="B50" s="63" t="s">
        <v>73</v>
      </c>
      <c r="C50" s="75">
        <f aca="true" t="shared" si="23" ref="C50:L50">C49+C48</f>
        <v>187</v>
      </c>
      <c r="D50" s="75">
        <f t="shared" si="23"/>
        <v>209.7</v>
      </c>
      <c r="E50" s="75">
        <f t="shared" si="23"/>
        <v>155</v>
      </c>
      <c r="F50" s="75">
        <f t="shared" si="23"/>
        <v>128</v>
      </c>
      <c r="G50" s="75">
        <f t="shared" si="23"/>
        <v>166</v>
      </c>
      <c r="H50" s="75">
        <f t="shared" si="23"/>
        <v>334.6</v>
      </c>
      <c r="I50" s="75">
        <f t="shared" si="23"/>
        <v>354.7</v>
      </c>
      <c r="J50" s="75">
        <f t="shared" si="23"/>
        <v>296</v>
      </c>
      <c r="K50" s="75">
        <f t="shared" si="23"/>
        <v>206</v>
      </c>
      <c r="L50" s="75">
        <f t="shared" si="23"/>
        <v>342</v>
      </c>
      <c r="M50" s="136">
        <f t="shared" si="15"/>
        <v>1789.3048128342248</v>
      </c>
      <c r="N50" s="136">
        <f t="shared" si="16"/>
        <v>1691.4639961850262</v>
      </c>
      <c r="O50" s="136">
        <f t="shared" si="17"/>
        <v>1909.6774193548388</v>
      </c>
      <c r="P50" s="136">
        <f t="shared" si="18"/>
        <v>1609.375</v>
      </c>
      <c r="Q50" s="137">
        <f t="shared" si="19"/>
        <v>2060.2409638554213</v>
      </c>
    </row>
    <row r="51" spans="1:17" ht="24.75" customHeight="1">
      <c r="A51" s="188" t="s">
        <v>20</v>
      </c>
      <c r="B51" s="2" t="s">
        <v>2</v>
      </c>
      <c r="C51" s="73">
        <v>0.23</v>
      </c>
      <c r="D51" s="73">
        <v>0.26</v>
      </c>
      <c r="E51" s="73">
        <v>0.25</v>
      </c>
      <c r="F51" s="73">
        <v>0.529</v>
      </c>
      <c r="G51" s="73">
        <f>0.452+0.381</f>
        <v>0.833</v>
      </c>
      <c r="H51" s="73">
        <v>0.251</v>
      </c>
      <c r="I51" s="73">
        <v>0.28</v>
      </c>
      <c r="J51" s="76">
        <v>0.27</v>
      </c>
      <c r="K51" s="73">
        <v>0.606</v>
      </c>
      <c r="L51" s="73">
        <f>0.592+0.499</f>
        <v>1.091</v>
      </c>
      <c r="M51" s="94">
        <f t="shared" si="15"/>
        <v>1091.3043478260868</v>
      </c>
      <c r="N51" s="94">
        <f t="shared" si="16"/>
        <v>1076.9230769230771</v>
      </c>
      <c r="O51" s="94">
        <f t="shared" si="17"/>
        <v>1080</v>
      </c>
      <c r="P51" s="94">
        <f t="shared" si="18"/>
        <v>1145.5576559546312</v>
      </c>
      <c r="Q51" s="124">
        <f t="shared" si="19"/>
        <v>1309.7238895558223</v>
      </c>
    </row>
    <row r="52" spans="1:17" ht="24.75" customHeight="1">
      <c r="A52" s="188"/>
      <c r="B52" s="2" t="s">
        <v>72</v>
      </c>
      <c r="C52" s="73">
        <v>0.365</v>
      </c>
      <c r="D52" s="73">
        <v>0.35</v>
      </c>
      <c r="E52" s="73">
        <v>0.25</v>
      </c>
      <c r="F52" s="73">
        <v>0.846</v>
      </c>
      <c r="G52" s="73">
        <v>1</v>
      </c>
      <c r="H52" s="73">
        <v>0.48</v>
      </c>
      <c r="I52" s="73">
        <v>0.44</v>
      </c>
      <c r="J52" s="76">
        <v>0.32</v>
      </c>
      <c r="K52" s="73">
        <v>0.981</v>
      </c>
      <c r="L52" s="73">
        <v>1.584</v>
      </c>
      <c r="M52" s="94">
        <f t="shared" si="15"/>
        <v>1315.0684931506848</v>
      </c>
      <c r="N52" s="94">
        <f t="shared" si="16"/>
        <v>1257.1428571428573</v>
      </c>
      <c r="O52" s="94">
        <f t="shared" si="17"/>
        <v>1280</v>
      </c>
      <c r="P52" s="94">
        <f t="shared" si="18"/>
        <v>1159.5744680851064</v>
      </c>
      <c r="Q52" s="124">
        <f t="shared" si="19"/>
        <v>1584</v>
      </c>
    </row>
    <row r="53" spans="1:17" s="138" customFormat="1" ht="24.75" customHeight="1">
      <c r="A53" s="188"/>
      <c r="B53" s="63" t="s">
        <v>73</v>
      </c>
      <c r="C53" s="75">
        <f>C52+C51</f>
        <v>0.595</v>
      </c>
      <c r="D53" s="75">
        <f aca="true" t="shared" si="24" ref="D53:L53">D52+D51</f>
        <v>0.61</v>
      </c>
      <c r="E53" s="75">
        <f t="shared" si="24"/>
        <v>0.5</v>
      </c>
      <c r="F53" s="75">
        <f t="shared" si="24"/>
        <v>1.375</v>
      </c>
      <c r="G53" s="75">
        <f t="shared" si="24"/>
        <v>1.833</v>
      </c>
      <c r="H53" s="75">
        <f t="shared" si="24"/>
        <v>0.731</v>
      </c>
      <c r="I53" s="75">
        <f t="shared" si="24"/>
        <v>0.72</v>
      </c>
      <c r="J53" s="75">
        <f t="shared" si="24"/>
        <v>0.5900000000000001</v>
      </c>
      <c r="K53" s="75">
        <f t="shared" si="24"/>
        <v>1.587</v>
      </c>
      <c r="L53" s="75">
        <f t="shared" si="24"/>
        <v>2.675</v>
      </c>
      <c r="M53" s="136">
        <f t="shared" si="15"/>
        <v>1228.5714285714287</v>
      </c>
      <c r="N53" s="136">
        <f t="shared" si="16"/>
        <v>1180.327868852459</v>
      </c>
      <c r="O53" s="136">
        <f t="shared" si="17"/>
        <v>1180.0000000000002</v>
      </c>
      <c r="P53" s="136">
        <f t="shared" si="18"/>
        <v>1154.1818181818182</v>
      </c>
      <c r="Q53" s="137">
        <f t="shared" si="19"/>
        <v>1459.3562465902892</v>
      </c>
    </row>
    <row r="54" spans="1:17" ht="24.75" customHeight="1">
      <c r="A54" s="2" t="s">
        <v>22</v>
      </c>
      <c r="B54" s="63" t="s">
        <v>2</v>
      </c>
      <c r="C54" s="129">
        <v>94</v>
      </c>
      <c r="D54" s="129">
        <v>96</v>
      </c>
      <c r="E54" s="129">
        <v>98</v>
      </c>
      <c r="F54" s="129">
        <v>97</v>
      </c>
      <c r="G54" s="129">
        <v>94</v>
      </c>
      <c r="H54" s="129">
        <v>94</v>
      </c>
      <c r="I54" s="129">
        <v>86</v>
      </c>
      <c r="J54" s="140">
        <v>84</v>
      </c>
      <c r="K54" s="129">
        <v>65</v>
      </c>
      <c r="L54" s="129">
        <v>85</v>
      </c>
      <c r="M54" s="136">
        <f t="shared" si="15"/>
        <v>1000</v>
      </c>
      <c r="N54" s="136">
        <f t="shared" si="16"/>
        <v>895.8333333333334</v>
      </c>
      <c r="O54" s="136">
        <f t="shared" si="17"/>
        <v>857.1428571428571</v>
      </c>
      <c r="P54" s="136">
        <f t="shared" si="18"/>
        <v>670.1030927835051</v>
      </c>
      <c r="Q54" s="137">
        <f t="shared" si="19"/>
        <v>904.2553191489362</v>
      </c>
    </row>
    <row r="55" spans="1:17" ht="24.75" customHeight="1">
      <c r="A55" s="2" t="s">
        <v>86</v>
      </c>
      <c r="B55" s="63" t="s">
        <v>2</v>
      </c>
      <c r="C55" s="129">
        <v>1.04</v>
      </c>
      <c r="D55" s="129">
        <v>1.02</v>
      </c>
      <c r="E55" s="129">
        <v>0.97</v>
      </c>
      <c r="F55" s="129">
        <v>1.06</v>
      </c>
      <c r="G55" s="129">
        <v>1</v>
      </c>
      <c r="H55" s="129">
        <v>1.21</v>
      </c>
      <c r="I55" s="129">
        <v>1.2</v>
      </c>
      <c r="J55" s="140">
        <v>1.07</v>
      </c>
      <c r="K55" s="129">
        <v>1.5</v>
      </c>
      <c r="L55" s="129">
        <v>1</v>
      </c>
      <c r="M55" s="136">
        <f t="shared" si="15"/>
        <v>1163.4615384615383</v>
      </c>
      <c r="N55" s="136">
        <f t="shared" si="16"/>
        <v>1176.4705882352941</v>
      </c>
      <c r="O55" s="136">
        <f t="shared" si="17"/>
        <v>1103.0927835051548</v>
      </c>
      <c r="P55" s="136">
        <f t="shared" si="18"/>
        <v>1415.0943396226414</v>
      </c>
      <c r="Q55" s="137">
        <f t="shared" si="19"/>
        <v>1000</v>
      </c>
    </row>
    <row r="56" spans="1:17" ht="24.75" customHeight="1">
      <c r="A56" s="188" t="s">
        <v>23</v>
      </c>
      <c r="B56" s="2" t="s">
        <v>2</v>
      </c>
      <c r="C56" s="73">
        <v>2.5</v>
      </c>
      <c r="D56" s="73">
        <v>3.806</v>
      </c>
      <c r="E56" s="73">
        <v>2.01</v>
      </c>
      <c r="F56" s="73">
        <v>2.107</v>
      </c>
      <c r="G56" s="73">
        <v>2.243</v>
      </c>
      <c r="H56" s="73">
        <v>2.5</v>
      </c>
      <c r="I56" s="73">
        <v>3.492</v>
      </c>
      <c r="J56" s="76">
        <v>1.86</v>
      </c>
      <c r="K56" s="73">
        <v>1.9</v>
      </c>
      <c r="L56" s="73">
        <v>2.162</v>
      </c>
      <c r="M56" s="94">
        <f t="shared" si="15"/>
        <v>1000</v>
      </c>
      <c r="N56" s="94">
        <f t="shared" si="16"/>
        <v>917.4986862848134</v>
      </c>
      <c r="O56" s="94">
        <f t="shared" si="17"/>
        <v>925.3731343283583</v>
      </c>
      <c r="P56" s="94">
        <f t="shared" si="18"/>
        <v>901.7560512577123</v>
      </c>
      <c r="Q56" s="124">
        <f t="shared" si="19"/>
        <v>963.8876504681231</v>
      </c>
    </row>
    <row r="57" spans="1:17" ht="24.75" customHeight="1">
      <c r="A57" s="188"/>
      <c r="B57" s="2" t="s">
        <v>72</v>
      </c>
      <c r="C57" s="73">
        <v>65</v>
      </c>
      <c r="D57" s="73">
        <v>75</v>
      </c>
      <c r="E57" s="73">
        <v>75.37</v>
      </c>
      <c r="F57" s="73">
        <f>20+62.098</f>
        <v>82.098</v>
      </c>
      <c r="G57" s="73">
        <f>13.747+61</f>
        <v>74.747</v>
      </c>
      <c r="H57" s="73">
        <v>168</v>
      </c>
      <c r="I57" s="73">
        <v>197</v>
      </c>
      <c r="J57" s="76">
        <v>178</v>
      </c>
      <c r="K57" s="73">
        <f>38+150</f>
        <v>188</v>
      </c>
      <c r="L57" s="73">
        <f>25.293+148</f>
        <v>173.293</v>
      </c>
      <c r="M57" s="94">
        <f t="shared" si="15"/>
        <v>2584.6153846153848</v>
      </c>
      <c r="N57" s="94">
        <f t="shared" si="16"/>
        <v>2626.6666666666665</v>
      </c>
      <c r="O57" s="94">
        <f t="shared" si="17"/>
        <v>2361.6823669895184</v>
      </c>
      <c r="P57" s="94">
        <f t="shared" si="18"/>
        <v>2289.946161904066</v>
      </c>
      <c r="Q57" s="124">
        <f t="shared" si="19"/>
        <v>2318.3940492595025</v>
      </c>
    </row>
    <row r="58" spans="1:17" s="143" customFormat="1" ht="24.75" customHeight="1">
      <c r="A58" s="188"/>
      <c r="B58" s="63" t="s">
        <v>73</v>
      </c>
      <c r="C58" s="75">
        <f>C57+C56</f>
        <v>67.5</v>
      </c>
      <c r="D58" s="75">
        <f aca="true" t="shared" si="25" ref="D58:L58">D57+D56</f>
        <v>78.806</v>
      </c>
      <c r="E58" s="75">
        <f t="shared" si="25"/>
        <v>77.38000000000001</v>
      </c>
      <c r="F58" s="75">
        <f t="shared" si="25"/>
        <v>84.205</v>
      </c>
      <c r="G58" s="75">
        <f t="shared" si="25"/>
        <v>76.99</v>
      </c>
      <c r="H58" s="75">
        <f t="shared" si="25"/>
        <v>170.5</v>
      </c>
      <c r="I58" s="75">
        <f t="shared" si="25"/>
        <v>200.492</v>
      </c>
      <c r="J58" s="75">
        <f t="shared" si="25"/>
        <v>179.86</v>
      </c>
      <c r="K58" s="75">
        <f t="shared" si="25"/>
        <v>189.9</v>
      </c>
      <c r="L58" s="75">
        <f t="shared" si="25"/>
        <v>175.455</v>
      </c>
      <c r="M58" s="136">
        <f t="shared" si="15"/>
        <v>2525.925925925926</v>
      </c>
      <c r="N58" s="136">
        <f t="shared" si="16"/>
        <v>2544.1210060147705</v>
      </c>
      <c r="O58" s="136">
        <f t="shared" si="17"/>
        <v>2324.3732230550527</v>
      </c>
      <c r="P58" s="136">
        <f t="shared" si="18"/>
        <v>2255.210498188944</v>
      </c>
      <c r="Q58" s="137">
        <f t="shared" si="19"/>
        <v>2278.9323288738797</v>
      </c>
    </row>
    <row r="59" spans="1:17" s="9" customFormat="1" ht="24.75" customHeight="1" hidden="1">
      <c r="A59" s="2" t="s">
        <v>54</v>
      </c>
      <c r="B59" s="2" t="s">
        <v>2</v>
      </c>
      <c r="C59" s="74"/>
      <c r="D59" s="74"/>
      <c r="E59" s="74"/>
      <c r="F59" s="73"/>
      <c r="G59" s="73"/>
      <c r="H59" s="74"/>
      <c r="I59" s="74"/>
      <c r="J59" s="77"/>
      <c r="K59" s="76"/>
      <c r="L59" s="73"/>
      <c r="M59" s="94" t="e">
        <f t="shared" si="15"/>
        <v>#DIV/0!</v>
      </c>
      <c r="N59" s="94" t="e">
        <f t="shared" si="16"/>
        <v>#DIV/0!</v>
      </c>
      <c r="O59" s="94" t="e">
        <f t="shared" si="17"/>
        <v>#DIV/0!</v>
      </c>
      <c r="P59" s="94" t="e">
        <f t="shared" si="18"/>
        <v>#DIV/0!</v>
      </c>
      <c r="Q59" s="124" t="e">
        <f t="shared" si="19"/>
        <v>#DIV/0!</v>
      </c>
    </row>
    <row r="60" spans="1:17" s="9" customFormat="1" ht="24.75" customHeight="1">
      <c r="A60" s="189" t="s">
        <v>126</v>
      </c>
      <c r="B60" s="2" t="s">
        <v>2</v>
      </c>
      <c r="C60" s="73">
        <v>0.329</v>
      </c>
      <c r="D60" s="73">
        <v>0.35</v>
      </c>
      <c r="E60" s="73">
        <v>0.33</v>
      </c>
      <c r="F60" s="73">
        <f>0.005+0.239</f>
        <v>0.244</v>
      </c>
      <c r="G60" s="73">
        <f>0.001+0.212</f>
        <v>0.213</v>
      </c>
      <c r="H60" s="73">
        <v>0.695</v>
      </c>
      <c r="I60" s="73">
        <v>0.87</v>
      </c>
      <c r="J60" s="76">
        <v>0.99</v>
      </c>
      <c r="K60" s="73">
        <f>0.011+0.717</f>
        <v>0.728</v>
      </c>
      <c r="L60" s="73">
        <f>0.003+0.636</f>
        <v>0.639</v>
      </c>
      <c r="M60" s="94">
        <f t="shared" si="15"/>
        <v>2112.462006079027</v>
      </c>
      <c r="N60" s="94">
        <f t="shared" si="16"/>
        <v>2485.714285714286</v>
      </c>
      <c r="O60" s="94">
        <f t="shared" si="17"/>
        <v>3000</v>
      </c>
      <c r="P60" s="94">
        <f t="shared" si="18"/>
        <v>2983.6065573770493</v>
      </c>
      <c r="Q60" s="124">
        <f t="shared" si="19"/>
        <v>3000</v>
      </c>
    </row>
    <row r="61" spans="1:17" s="9" customFormat="1" ht="24.75" customHeight="1">
      <c r="A61" s="190"/>
      <c r="B61" s="2" t="s">
        <v>72</v>
      </c>
      <c r="C61" s="73">
        <v>0.037</v>
      </c>
      <c r="D61" s="73">
        <v>0</v>
      </c>
      <c r="E61" s="73">
        <v>0.03</v>
      </c>
      <c r="F61" s="73">
        <v>0.055</v>
      </c>
      <c r="G61" s="73">
        <v>0.04</v>
      </c>
      <c r="H61" s="73">
        <v>0.092</v>
      </c>
      <c r="I61" s="73">
        <v>0</v>
      </c>
      <c r="J61" s="76">
        <v>0.04</v>
      </c>
      <c r="K61" s="73">
        <v>0.165</v>
      </c>
      <c r="L61" s="73">
        <v>0.112</v>
      </c>
      <c r="M61" s="94">
        <f t="shared" si="15"/>
        <v>2486.4864864864862</v>
      </c>
      <c r="N61" s="94">
        <v>0</v>
      </c>
      <c r="O61" s="94">
        <f t="shared" si="17"/>
        <v>1333.3333333333335</v>
      </c>
      <c r="P61" s="94">
        <f t="shared" si="18"/>
        <v>3000</v>
      </c>
      <c r="Q61" s="124">
        <f t="shared" si="19"/>
        <v>2800</v>
      </c>
    </row>
    <row r="62" spans="1:17" s="143" customFormat="1" ht="24.75" customHeight="1">
      <c r="A62" s="191"/>
      <c r="B62" s="63" t="s">
        <v>73</v>
      </c>
      <c r="C62" s="75">
        <f>C61+C60</f>
        <v>0.366</v>
      </c>
      <c r="D62" s="75">
        <f aca="true" t="shared" si="26" ref="D62:L62">D61+D60</f>
        <v>0.35</v>
      </c>
      <c r="E62" s="75">
        <f t="shared" si="26"/>
        <v>0.36</v>
      </c>
      <c r="F62" s="75">
        <f t="shared" si="26"/>
        <v>0.299</v>
      </c>
      <c r="G62" s="75">
        <f t="shared" si="26"/>
        <v>0.253</v>
      </c>
      <c r="H62" s="75">
        <f t="shared" si="26"/>
        <v>0.7869999999999999</v>
      </c>
      <c r="I62" s="75">
        <f t="shared" si="26"/>
        <v>0.87</v>
      </c>
      <c r="J62" s="75">
        <f t="shared" si="26"/>
        <v>1.03</v>
      </c>
      <c r="K62" s="75">
        <f t="shared" si="26"/>
        <v>0.893</v>
      </c>
      <c r="L62" s="75">
        <f t="shared" si="26"/>
        <v>0.751</v>
      </c>
      <c r="M62" s="136">
        <f t="shared" si="15"/>
        <v>2150.2732240437153</v>
      </c>
      <c r="N62" s="136">
        <f t="shared" si="16"/>
        <v>2485.714285714286</v>
      </c>
      <c r="O62" s="136">
        <f t="shared" si="17"/>
        <v>2861.1111111111113</v>
      </c>
      <c r="P62" s="136">
        <f t="shared" si="18"/>
        <v>2986.6220735785955</v>
      </c>
      <c r="Q62" s="137">
        <f t="shared" si="19"/>
        <v>2968.3794466403165</v>
      </c>
    </row>
    <row r="63" spans="1:17" s="9" customFormat="1" ht="24.75" customHeight="1">
      <c r="A63" s="196" t="s">
        <v>24</v>
      </c>
      <c r="B63" s="2" t="s">
        <v>2</v>
      </c>
      <c r="C63" s="74">
        <f aca="true" t="shared" si="27" ref="C63:L63">C60+C56+C55+C54+C51+C48+C45+C42+C41+C38+C33+C30+C27+C26+C23+C20+C19+C18+C17+C16+C13+C10+C9+C8+C7+C4</f>
        <v>3931.1190000000006</v>
      </c>
      <c r="D63" s="74">
        <f t="shared" si="27"/>
        <v>4645.366</v>
      </c>
      <c r="E63" s="74">
        <f t="shared" si="27"/>
        <v>4013.4500000000007</v>
      </c>
      <c r="F63" s="74">
        <f t="shared" si="27"/>
        <v>3837.7700000000004</v>
      </c>
      <c r="G63" s="74">
        <f t="shared" si="27"/>
        <v>4578.4619999999995</v>
      </c>
      <c r="H63" s="74">
        <f t="shared" si="27"/>
        <v>3188.177</v>
      </c>
      <c r="I63" s="74">
        <f t="shared" si="27"/>
        <v>8057.96</v>
      </c>
      <c r="J63" s="74">
        <f t="shared" si="27"/>
        <v>5930.48</v>
      </c>
      <c r="K63" s="74">
        <f t="shared" si="27"/>
        <v>5367.504600000001</v>
      </c>
      <c r="L63" s="74">
        <f t="shared" si="27"/>
        <v>6047.637</v>
      </c>
      <c r="M63" s="94">
        <f t="shared" si="15"/>
        <v>811.0100457401569</v>
      </c>
      <c r="N63" s="94">
        <f t="shared" si="16"/>
        <v>1734.6232783380256</v>
      </c>
      <c r="O63" s="94">
        <f t="shared" si="17"/>
        <v>1477.651397176992</v>
      </c>
      <c r="P63" s="94">
        <f t="shared" si="18"/>
        <v>1398.5998639835113</v>
      </c>
      <c r="Q63" s="124">
        <f t="shared" si="19"/>
        <v>1320.8883245072254</v>
      </c>
    </row>
    <row r="64" spans="1:17" s="9" customFormat="1" ht="24.75" customHeight="1">
      <c r="A64" s="197"/>
      <c r="B64" s="2" t="s">
        <v>72</v>
      </c>
      <c r="C64" s="74">
        <f>C61+C57+C52+C49+C46+C43+C39+C28+C24+C21+C14+C11+C5+C31</f>
        <v>789.9110000000001</v>
      </c>
      <c r="D64" s="74">
        <f aca="true" t="shared" si="28" ref="D64:L64">D61+D57+D52+D49+D46+D43+D39+D28+D24+D21+D14+D11+D5+D31</f>
        <v>859.8399999999999</v>
      </c>
      <c r="E64" s="74">
        <f t="shared" si="28"/>
        <v>755.1999999999999</v>
      </c>
      <c r="F64" s="74">
        <f t="shared" si="28"/>
        <v>758.5260000000001</v>
      </c>
      <c r="G64" s="74">
        <f t="shared" si="28"/>
        <v>759.579</v>
      </c>
      <c r="H64" s="74">
        <f t="shared" si="28"/>
        <v>1507.125</v>
      </c>
      <c r="I64" s="74">
        <f t="shared" si="28"/>
        <v>1655.94</v>
      </c>
      <c r="J64" s="74">
        <f t="shared" si="28"/>
        <v>1471.23</v>
      </c>
      <c r="K64" s="74">
        <f t="shared" si="28"/>
        <v>1365.824</v>
      </c>
      <c r="L64" s="74">
        <f t="shared" si="28"/>
        <v>1413.891</v>
      </c>
      <c r="M64" s="94">
        <f t="shared" si="15"/>
        <v>1907.9681128633476</v>
      </c>
      <c r="N64" s="94">
        <f t="shared" si="16"/>
        <v>1925.8699292891704</v>
      </c>
      <c r="O64" s="94">
        <f t="shared" si="17"/>
        <v>1948.1329449152545</v>
      </c>
      <c r="P64" s="94">
        <f t="shared" si="18"/>
        <v>1800.6291148886128</v>
      </c>
      <c r="Q64" s="124">
        <f t="shared" si="19"/>
        <v>1861.4140201348382</v>
      </c>
    </row>
    <row r="65" spans="1:17" s="143" customFormat="1" ht="24.75" customHeight="1">
      <c r="A65" s="197"/>
      <c r="B65" s="63" t="s">
        <v>73</v>
      </c>
      <c r="C65" s="75">
        <f>C64+C63</f>
        <v>4721.030000000001</v>
      </c>
      <c r="D65" s="75">
        <f aca="true" t="shared" si="29" ref="D65:L65">D64+D63</f>
        <v>5505.206</v>
      </c>
      <c r="E65" s="75">
        <f t="shared" si="29"/>
        <v>4768.650000000001</v>
      </c>
      <c r="F65" s="75">
        <f t="shared" si="29"/>
        <v>4596.296</v>
      </c>
      <c r="G65" s="75">
        <f t="shared" si="29"/>
        <v>5338.040999999999</v>
      </c>
      <c r="H65" s="75">
        <f t="shared" si="29"/>
        <v>4695.302</v>
      </c>
      <c r="I65" s="75">
        <f t="shared" si="29"/>
        <v>9713.9</v>
      </c>
      <c r="J65" s="75">
        <f t="shared" si="29"/>
        <v>7401.709999999999</v>
      </c>
      <c r="K65" s="75">
        <f t="shared" si="29"/>
        <v>6733.328600000001</v>
      </c>
      <c r="L65" s="75">
        <f t="shared" si="29"/>
        <v>7461.528</v>
      </c>
      <c r="M65" s="136">
        <f t="shared" si="15"/>
        <v>994.5503417686392</v>
      </c>
      <c r="N65" s="136">
        <f t="shared" si="16"/>
        <v>1764.493463096567</v>
      </c>
      <c r="O65" s="136">
        <f t="shared" si="17"/>
        <v>1552.1604647017496</v>
      </c>
      <c r="P65" s="136">
        <f t="shared" si="18"/>
        <v>1464.946687506636</v>
      </c>
      <c r="Q65" s="137">
        <f t="shared" si="19"/>
        <v>1397.802677049502</v>
      </c>
    </row>
    <row r="66" spans="2:17" s="9" customFormat="1" ht="18" customHeight="1">
      <c r="B66" s="3"/>
      <c r="C66" s="3"/>
      <c r="D66" s="3"/>
      <c r="E66" s="3"/>
      <c r="F66" s="61"/>
      <c r="G66" s="61"/>
      <c r="H66" s="3"/>
      <c r="I66" s="3"/>
      <c r="J66" s="3"/>
      <c r="K66" s="15"/>
      <c r="L66" s="15"/>
      <c r="M66" s="17"/>
      <c r="O66" s="15" t="s">
        <v>88</v>
      </c>
      <c r="P66" s="15"/>
      <c r="Q66" s="15"/>
    </row>
    <row r="67" spans="1:12" s="9" customFormat="1" ht="16.5">
      <c r="A67" s="58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3:12" ht="16.5"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3:12" ht="16.5"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3:12" ht="16.5"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3:12" ht="16.5"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3:12" ht="16.5"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</sheetData>
  <sheetProtection/>
  <mergeCells count="27">
    <mergeCell ref="B2:B3"/>
    <mergeCell ref="A20:A22"/>
    <mergeCell ref="A45:A47"/>
    <mergeCell ref="A10:A12"/>
    <mergeCell ref="A1:Q1"/>
    <mergeCell ref="A35:Q35"/>
    <mergeCell ref="M2:Q2"/>
    <mergeCell ref="H2:L2"/>
    <mergeCell ref="C2:G2"/>
    <mergeCell ref="A2:A3"/>
    <mergeCell ref="A23:A25"/>
    <mergeCell ref="A4:A6"/>
    <mergeCell ref="A48:A50"/>
    <mergeCell ref="A13:A15"/>
    <mergeCell ref="A30:A32"/>
    <mergeCell ref="A63:A65"/>
    <mergeCell ref="A42:A44"/>
    <mergeCell ref="A27:A29"/>
    <mergeCell ref="A38:A40"/>
    <mergeCell ref="A60:A62"/>
    <mergeCell ref="A36:A37"/>
    <mergeCell ref="B36:B37"/>
    <mergeCell ref="C36:G36"/>
    <mergeCell ref="H36:L36"/>
    <mergeCell ref="M36:Q36"/>
    <mergeCell ref="A56:A58"/>
    <mergeCell ref="A51:A53"/>
  </mergeCells>
  <printOptions horizontalCentered="1"/>
  <pageMargins left="0.236220472440945" right="0.236220472440945" top="0.748031496062992" bottom="0" header="0.511811023622047" footer="0.511811023622047"/>
  <pageSetup horizontalDpi="600" verticalDpi="600" orientation="landscape" paperSize="9" scale="57" r:id="rId1"/>
  <rowBreaks count="1" manualBreakCount="1">
    <brk id="3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26"/>
  <sheetViews>
    <sheetView view="pageBreakPreview" zoomScale="70" zoomScaleNormal="60" zoomScaleSheetLayoutView="70" zoomScalePageLayoutView="0" workbookViewId="0" topLeftCell="A1">
      <selection activeCell="P20" sqref="P20"/>
    </sheetView>
  </sheetViews>
  <sheetFormatPr defaultColWidth="9.140625" defaultRowHeight="12.75"/>
  <cols>
    <col min="1" max="1" width="29.57421875" style="3" bestFit="1" customWidth="1"/>
    <col min="2" max="3" width="10.57421875" style="3" customWidth="1"/>
    <col min="4" max="4" width="11.421875" style="3" customWidth="1"/>
    <col min="5" max="5" width="12.421875" style="3" bestFit="1" customWidth="1"/>
    <col min="6" max="6" width="12.421875" style="3" customWidth="1"/>
    <col min="7" max="8" width="10.57421875" style="3" customWidth="1"/>
    <col min="9" max="9" width="12.421875" style="3" customWidth="1"/>
    <col min="10" max="10" width="12.28125" style="3" customWidth="1"/>
    <col min="11" max="11" width="13.00390625" style="3" customWidth="1"/>
    <col min="12" max="12" width="12.00390625" style="1" customWidth="1"/>
    <col min="13" max="13" width="10.57421875" style="1" bestFit="1" customWidth="1"/>
    <col min="14" max="14" width="11.57421875" style="1" customWidth="1"/>
    <col min="15" max="16" width="11.57421875" style="67" customWidth="1"/>
    <col min="17" max="16384" width="9.140625" style="1" customWidth="1"/>
  </cols>
  <sheetData>
    <row r="1" spans="1:16" ht="33.75" customHeight="1">
      <c r="A1" s="202" t="s">
        <v>128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30" customHeight="1">
      <c r="A2" s="203" t="s">
        <v>78</v>
      </c>
      <c r="B2" s="185" t="s">
        <v>81</v>
      </c>
      <c r="C2" s="186"/>
      <c r="D2" s="186"/>
      <c r="E2" s="186"/>
      <c r="F2" s="187"/>
      <c r="G2" s="185" t="s">
        <v>82</v>
      </c>
      <c r="H2" s="186"/>
      <c r="I2" s="186"/>
      <c r="J2" s="186"/>
      <c r="K2" s="187"/>
      <c r="L2" s="184" t="s">
        <v>79</v>
      </c>
      <c r="M2" s="184"/>
      <c r="N2" s="184"/>
      <c r="O2" s="184"/>
      <c r="P2" s="184"/>
    </row>
    <row r="3" spans="1:16" ht="39" customHeight="1">
      <c r="A3" s="203"/>
      <c r="B3" s="133" t="s">
        <v>112</v>
      </c>
      <c r="C3" s="133" t="s">
        <v>113</v>
      </c>
      <c r="D3" s="133" t="s">
        <v>115</v>
      </c>
      <c r="E3" s="133" t="s">
        <v>121</v>
      </c>
      <c r="F3" s="133" t="s">
        <v>122</v>
      </c>
      <c r="G3" s="133" t="s">
        <v>112</v>
      </c>
      <c r="H3" s="133" t="s">
        <v>113</v>
      </c>
      <c r="I3" s="133" t="s">
        <v>115</v>
      </c>
      <c r="J3" s="133" t="s">
        <v>121</v>
      </c>
      <c r="K3" s="133" t="s">
        <v>122</v>
      </c>
      <c r="L3" s="133" t="s">
        <v>112</v>
      </c>
      <c r="M3" s="133" t="s">
        <v>113</v>
      </c>
      <c r="N3" s="133" t="s">
        <v>115</v>
      </c>
      <c r="O3" s="133" t="s">
        <v>121</v>
      </c>
      <c r="P3" s="133" t="s">
        <v>122</v>
      </c>
    </row>
    <row r="4" spans="1:16" ht="27" customHeight="1">
      <c r="A4" s="2" t="s">
        <v>1</v>
      </c>
      <c r="B4" s="73">
        <v>110.5</v>
      </c>
      <c r="C4" s="73">
        <v>72.6</v>
      </c>
      <c r="D4" s="73">
        <v>48</v>
      </c>
      <c r="E4" s="73">
        <f>49+2</f>
        <v>51</v>
      </c>
      <c r="F4" s="73">
        <v>33</v>
      </c>
      <c r="G4" s="80">
        <v>52.5</v>
      </c>
      <c r="H4" s="80">
        <v>38.6</v>
      </c>
      <c r="I4" s="80">
        <v>27</v>
      </c>
      <c r="J4" s="73">
        <v>29</v>
      </c>
      <c r="K4" s="73">
        <v>16</v>
      </c>
      <c r="L4" s="98">
        <f aca="true" t="shared" si="0" ref="L4:P8">G4/B4*1000</f>
        <v>475.1131221719457</v>
      </c>
      <c r="M4" s="98">
        <f t="shared" si="0"/>
        <v>531.6804407713499</v>
      </c>
      <c r="N4" s="98">
        <f t="shared" si="0"/>
        <v>562.5</v>
      </c>
      <c r="O4" s="98">
        <f t="shared" si="0"/>
        <v>568.6274509803922</v>
      </c>
      <c r="P4" s="98">
        <f t="shared" si="0"/>
        <v>484.8484848484849</v>
      </c>
    </row>
    <row r="5" spans="1:16" ht="27" customHeight="1">
      <c r="A5" s="2" t="s">
        <v>33</v>
      </c>
      <c r="B5" s="73">
        <v>0</v>
      </c>
      <c r="C5" s="73">
        <v>0</v>
      </c>
      <c r="D5" s="73">
        <v>0</v>
      </c>
      <c r="E5" s="73">
        <v>0.35</v>
      </c>
      <c r="F5" s="73">
        <v>0.174</v>
      </c>
      <c r="G5" s="73">
        <v>0</v>
      </c>
      <c r="H5" s="73">
        <v>0</v>
      </c>
      <c r="I5" s="73">
        <v>0</v>
      </c>
      <c r="J5" s="73">
        <v>0.2</v>
      </c>
      <c r="K5" s="73">
        <v>0.094</v>
      </c>
      <c r="L5" s="98">
        <v>0</v>
      </c>
      <c r="M5" s="98">
        <v>0</v>
      </c>
      <c r="N5" s="98">
        <v>0</v>
      </c>
      <c r="O5" s="98">
        <f>J5/E5*1000</f>
        <v>571.4285714285716</v>
      </c>
      <c r="P5" s="98">
        <f t="shared" si="0"/>
        <v>540.2298850574713</v>
      </c>
    </row>
    <row r="6" spans="1:16" ht="27" customHeight="1">
      <c r="A6" s="2" t="s">
        <v>25</v>
      </c>
      <c r="B6" s="73">
        <v>0.9</v>
      </c>
      <c r="C6" s="73">
        <v>0.009</v>
      </c>
      <c r="D6" s="73">
        <v>0.94</v>
      </c>
      <c r="E6" s="73">
        <v>0.881</v>
      </c>
      <c r="F6" s="73">
        <v>0.744</v>
      </c>
      <c r="G6" s="80">
        <v>0.48</v>
      </c>
      <c r="H6" s="80">
        <v>0.45</v>
      </c>
      <c r="I6" s="80">
        <v>0.56</v>
      </c>
      <c r="J6" s="73">
        <v>0.407</v>
      </c>
      <c r="K6" s="73">
        <v>0.346</v>
      </c>
      <c r="L6" s="98">
        <f t="shared" si="0"/>
        <v>533.3333333333334</v>
      </c>
      <c r="M6" s="98">
        <f t="shared" si="0"/>
        <v>50000.00000000001</v>
      </c>
      <c r="N6" s="98">
        <f t="shared" si="0"/>
        <v>595.7446808510639</v>
      </c>
      <c r="O6" s="98">
        <f t="shared" si="0"/>
        <v>461.9750283768445</v>
      </c>
      <c r="P6" s="98">
        <f t="shared" si="0"/>
        <v>465.05376344086017</v>
      </c>
    </row>
    <row r="7" spans="1:16" ht="27" customHeight="1">
      <c r="A7" s="2" t="s">
        <v>71</v>
      </c>
      <c r="B7" s="73">
        <v>0.1</v>
      </c>
      <c r="C7" s="73">
        <v>0.94</v>
      </c>
      <c r="D7" s="73">
        <v>0.1</v>
      </c>
      <c r="E7" s="73">
        <v>0.043</v>
      </c>
      <c r="F7" s="73">
        <v>0.077</v>
      </c>
      <c r="G7" s="80">
        <v>0.1</v>
      </c>
      <c r="H7" s="80">
        <v>0.15</v>
      </c>
      <c r="I7" s="80">
        <v>0.09</v>
      </c>
      <c r="J7" s="73">
        <v>0.041</v>
      </c>
      <c r="K7" s="73">
        <v>0.074</v>
      </c>
      <c r="L7" s="98">
        <f t="shared" si="0"/>
        <v>1000</v>
      </c>
      <c r="M7" s="98">
        <f t="shared" si="0"/>
        <v>159.5744680851064</v>
      </c>
      <c r="N7" s="98">
        <f t="shared" si="0"/>
        <v>899.9999999999999</v>
      </c>
      <c r="O7" s="98">
        <f t="shared" si="0"/>
        <v>953.4883720930234</v>
      </c>
      <c r="P7" s="98">
        <f t="shared" si="0"/>
        <v>961.038961038961</v>
      </c>
    </row>
    <row r="8" spans="1:16" ht="27" customHeight="1">
      <c r="A8" s="2" t="s">
        <v>27</v>
      </c>
      <c r="B8" s="73">
        <v>0</v>
      </c>
      <c r="C8" s="73">
        <v>0.1</v>
      </c>
      <c r="D8" s="73">
        <v>0.1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98">
        <v>0</v>
      </c>
      <c r="M8" s="98">
        <f>H8/C8*1000</f>
        <v>0</v>
      </c>
      <c r="N8" s="98">
        <f aca="true" t="shared" si="1" ref="N8:N19">I8/D8*1000</f>
        <v>0</v>
      </c>
      <c r="O8" s="98">
        <v>0</v>
      </c>
      <c r="P8" s="98">
        <v>0</v>
      </c>
    </row>
    <row r="9" spans="1:16" ht="27" customHeight="1">
      <c r="A9" s="2" t="s">
        <v>8</v>
      </c>
      <c r="B9" s="73">
        <v>751</v>
      </c>
      <c r="C9" s="73">
        <v>627</v>
      </c>
      <c r="D9" s="73">
        <v>715</v>
      </c>
      <c r="E9" s="73">
        <v>714</v>
      </c>
      <c r="F9" s="73">
        <v>541</v>
      </c>
      <c r="G9" s="80">
        <v>1493</v>
      </c>
      <c r="H9" s="80">
        <v>1287.858</v>
      </c>
      <c r="I9" s="80">
        <v>1456</v>
      </c>
      <c r="J9" s="73">
        <v>1413</v>
      </c>
      <c r="K9" s="73">
        <v>1121</v>
      </c>
      <c r="L9" s="98">
        <f aca="true" t="shared" si="2" ref="L9:L19">G9/B9*1000</f>
        <v>1988.0159786950733</v>
      </c>
      <c r="M9" s="98">
        <f aca="true" t="shared" si="3" ref="M9:M19">H9/C9*1000</f>
        <v>2054</v>
      </c>
      <c r="N9" s="98">
        <f t="shared" si="1"/>
        <v>2036.3636363636363</v>
      </c>
      <c r="O9" s="98">
        <f aca="true" t="shared" si="4" ref="O8:O19">J9/E9*1000</f>
        <v>1978.9915966386554</v>
      </c>
      <c r="P9" s="98">
        <f aca="true" t="shared" si="5" ref="P8:P19">K9/F9*1000</f>
        <v>2072.088724584103</v>
      </c>
    </row>
    <row r="10" spans="1:16" ht="27" customHeight="1">
      <c r="A10" s="2" t="s">
        <v>35</v>
      </c>
      <c r="B10" s="73">
        <v>0.6</v>
      </c>
      <c r="C10" s="73">
        <v>0.2</v>
      </c>
      <c r="D10" s="73">
        <v>0.2</v>
      </c>
      <c r="E10" s="73">
        <v>0.2</v>
      </c>
      <c r="F10" s="73">
        <v>1.3</v>
      </c>
      <c r="G10" s="80">
        <v>0.9</v>
      </c>
      <c r="H10" s="80">
        <v>0.1</v>
      </c>
      <c r="I10" s="80">
        <v>0.3</v>
      </c>
      <c r="J10" s="73">
        <v>0.26</v>
      </c>
      <c r="K10" s="73">
        <v>1.69</v>
      </c>
      <c r="L10" s="98">
        <f t="shared" si="2"/>
        <v>1500</v>
      </c>
      <c r="M10" s="98">
        <f t="shared" si="3"/>
        <v>500</v>
      </c>
      <c r="N10" s="98">
        <f t="shared" si="1"/>
        <v>1499.9999999999998</v>
      </c>
      <c r="O10" s="98">
        <f t="shared" si="4"/>
        <v>1300</v>
      </c>
      <c r="P10" s="98">
        <f t="shared" si="5"/>
        <v>1299.9999999999998</v>
      </c>
    </row>
    <row r="11" spans="1:16" ht="27" customHeight="1">
      <c r="A11" s="2" t="s">
        <v>51</v>
      </c>
      <c r="B11" s="73">
        <v>0.21</v>
      </c>
      <c r="C11" s="73">
        <v>0.128</v>
      </c>
      <c r="D11" s="73">
        <v>0.11</v>
      </c>
      <c r="E11" s="73">
        <v>3.216</v>
      </c>
      <c r="F11" s="73">
        <v>0.161</v>
      </c>
      <c r="G11" s="80">
        <v>0.08</v>
      </c>
      <c r="H11" s="80">
        <v>0.061</v>
      </c>
      <c r="I11" s="80">
        <v>0.06</v>
      </c>
      <c r="J11" s="73">
        <v>1.298</v>
      </c>
      <c r="K11" s="73">
        <v>0.068</v>
      </c>
      <c r="L11" s="98">
        <f t="shared" si="2"/>
        <v>380.95238095238096</v>
      </c>
      <c r="M11" s="98">
        <f t="shared" si="3"/>
        <v>476.5625</v>
      </c>
      <c r="N11" s="98">
        <f t="shared" si="1"/>
        <v>545.4545454545454</v>
      </c>
      <c r="O11" s="98">
        <f t="shared" si="4"/>
        <v>403.60696517412936</v>
      </c>
      <c r="P11" s="98">
        <f t="shared" si="5"/>
        <v>422.360248447205</v>
      </c>
    </row>
    <row r="12" spans="1:16" ht="27" customHeight="1">
      <c r="A12" s="2" t="s">
        <v>11</v>
      </c>
      <c r="B12" s="73">
        <v>11</v>
      </c>
      <c r="C12" s="73">
        <v>12</v>
      </c>
      <c r="D12" s="73">
        <v>12</v>
      </c>
      <c r="E12" s="73">
        <v>9</v>
      </c>
      <c r="F12" s="73">
        <v>9</v>
      </c>
      <c r="G12" s="80">
        <v>7</v>
      </c>
      <c r="H12" s="80">
        <v>11</v>
      </c>
      <c r="I12" s="80">
        <v>7</v>
      </c>
      <c r="J12" s="73">
        <v>5</v>
      </c>
      <c r="K12" s="73">
        <v>5</v>
      </c>
      <c r="L12" s="98">
        <f t="shared" si="2"/>
        <v>636.3636363636364</v>
      </c>
      <c r="M12" s="98">
        <f t="shared" si="3"/>
        <v>916.6666666666666</v>
      </c>
      <c r="N12" s="98">
        <f t="shared" si="1"/>
        <v>583.3333333333334</v>
      </c>
      <c r="O12" s="98">
        <f t="shared" si="4"/>
        <v>555.5555555555555</v>
      </c>
      <c r="P12" s="98">
        <f t="shared" si="5"/>
        <v>555.5555555555555</v>
      </c>
    </row>
    <row r="13" spans="1:16" ht="27" customHeight="1">
      <c r="A13" s="2" t="s">
        <v>13</v>
      </c>
      <c r="B13" s="73">
        <v>1.2</v>
      </c>
      <c r="C13" s="73">
        <v>2.4</v>
      </c>
      <c r="D13" s="73">
        <v>2.1</v>
      </c>
      <c r="E13" s="73">
        <v>5</v>
      </c>
      <c r="F13" s="73">
        <v>14</v>
      </c>
      <c r="G13" s="80">
        <v>0.72</v>
      </c>
      <c r="H13" s="80">
        <v>1.2</v>
      </c>
      <c r="I13" s="80">
        <v>1</v>
      </c>
      <c r="J13" s="73">
        <v>2</v>
      </c>
      <c r="K13" s="73">
        <v>6</v>
      </c>
      <c r="L13" s="98">
        <f t="shared" si="2"/>
        <v>600</v>
      </c>
      <c r="M13" s="98">
        <f t="shared" si="3"/>
        <v>500</v>
      </c>
      <c r="N13" s="98">
        <f t="shared" si="1"/>
        <v>476.19047619047615</v>
      </c>
      <c r="O13" s="98">
        <f t="shared" si="4"/>
        <v>400</v>
      </c>
      <c r="P13" s="98">
        <f t="shared" si="5"/>
        <v>428.57142857142856</v>
      </c>
    </row>
    <row r="14" spans="1:16" ht="27" customHeight="1">
      <c r="A14" s="10" t="s">
        <v>14</v>
      </c>
      <c r="B14" s="73">
        <v>18</v>
      </c>
      <c r="C14" s="73">
        <v>14</v>
      </c>
      <c r="D14" s="73">
        <v>17</v>
      </c>
      <c r="E14" s="73">
        <v>21</v>
      </c>
      <c r="F14" s="73">
        <v>6.9</v>
      </c>
      <c r="G14" s="80">
        <v>5</v>
      </c>
      <c r="H14" s="80">
        <v>5</v>
      </c>
      <c r="I14" s="80">
        <v>4</v>
      </c>
      <c r="J14" s="73">
        <v>5</v>
      </c>
      <c r="K14" s="73">
        <v>2.1</v>
      </c>
      <c r="L14" s="98">
        <f t="shared" si="2"/>
        <v>277.77777777777777</v>
      </c>
      <c r="M14" s="98">
        <f t="shared" si="3"/>
        <v>357.14285714285717</v>
      </c>
      <c r="N14" s="98">
        <f t="shared" si="1"/>
        <v>235.2941176470588</v>
      </c>
      <c r="O14" s="98">
        <f t="shared" si="4"/>
        <v>238.09523809523807</v>
      </c>
      <c r="P14" s="98">
        <f t="shared" si="5"/>
        <v>304.34782608695656</v>
      </c>
    </row>
    <row r="15" spans="1:16" ht="27" customHeight="1">
      <c r="A15" s="10" t="s">
        <v>38</v>
      </c>
      <c r="B15" s="73">
        <v>0.027</v>
      </c>
      <c r="C15" s="73">
        <v>0.06</v>
      </c>
      <c r="D15" s="73">
        <v>0.07</v>
      </c>
      <c r="E15" s="73">
        <v>0.072</v>
      </c>
      <c r="F15" s="73">
        <v>0.07</v>
      </c>
      <c r="G15" s="80">
        <v>0.013</v>
      </c>
      <c r="H15" s="80">
        <v>0.05</v>
      </c>
      <c r="I15" s="80">
        <v>0.06</v>
      </c>
      <c r="J15" s="73">
        <v>0.065</v>
      </c>
      <c r="K15" s="73">
        <v>0.007</v>
      </c>
      <c r="L15" s="98">
        <f t="shared" si="2"/>
        <v>481.48148148148147</v>
      </c>
      <c r="M15" s="98">
        <f t="shared" si="3"/>
        <v>833.3333333333334</v>
      </c>
      <c r="N15" s="98">
        <f t="shared" si="1"/>
        <v>857.142857142857</v>
      </c>
      <c r="O15" s="98">
        <f t="shared" si="4"/>
        <v>902.7777777777779</v>
      </c>
      <c r="P15" s="98">
        <f t="shared" si="5"/>
        <v>99.99999999999999</v>
      </c>
    </row>
    <row r="16" spans="1:16" ht="27" customHeight="1">
      <c r="A16" s="10" t="s">
        <v>15</v>
      </c>
      <c r="B16" s="73">
        <v>0.3</v>
      </c>
      <c r="C16" s="73">
        <v>0.3</v>
      </c>
      <c r="D16" s="73">
        <v>0.31</v>
      </c>
      <c r="E16" s="73">
        <v>0.33</v>
      </c>
      <c r="F16" s="73">
        <v>0.34</v>
      </c>
      <c r="G16" s="80">
        <v>0.2</v>
      </c>
      <c r="H16" s="80">
        <v>0.2</v>
      </c>
      <c r="I16" s="80">
        <v>0.21</v>
      </c>
      <c r="J16" s="73">
        <v>0.22</v>
      </c>
      <c r="K16" s="73">
        <v>0.23</v>
      </c>
      <c r="L16" s="98">
        <f t="shared" si="2"/>
        <v>666.6666666666667</v>
      </c>
      <c r="M16" s="98">
        <f t="shared" si="3"/>
        <v>666.6666666666667</v>
      </c>
      <c r="N16" s="98">
        <f t="shared" si="1"/>
        <v>677.4193548387096</v>
      </c>
      <c r="O16" s="98">
        <f t="shared" si="4"/>
        <v>666.6666666666666</v>
      </c>
      <c r="P16" s="98">
        <f t="shared" si="5"/>
        <v>676.470588235294</v>
      </c>
    </row>
    <row r="17" spans="1:16" ht="27" customHeight="1">
      <c r="A17" s="2" t="s">
        <v>117</v>
      </c>
      <c r="B17" s="73">
        <v>12.54</v>
      </c>
      <c r="C17" s="73">
        <v>12.73</v>
      </c>
      <c r="D17" s="73">
        <v>10.93</v>
      </c>
      <c r="E17" s="73">
        <f>7.23+3.22</f>
        <v>10.450000000000001</v>
      </c>
      <c r="F17" s="73">
        <v>8.91</v>
      </c>
      <c r="G17" s="80">
        <v>8.08</v>
      </c>
      <c r="H17" s="80">
        <v>8.13</v>
      </c>
      <c r="I17" s="80">
        <v>6.97</v>
      </c>
      <c r="J17" s="73">
        <f>4.47+2.13</f>
        <v>6.6</v>
      </c>
      <c r="K17" s="73">
        <v>5.619999999999999</v>
      </c>
      <c r="L17" s="98">
        <f t="shared" si="2"/>
        <v>644.3381180223286</v>
      </c>
      <c r="M17" s="98">
        <f t="shared" si="3"/>
        <v>638.6488609583662</v>
      </c>
      <c r="N17" s="98">
        <f t="shared" si="1"/>
        <v>637.6944190301921</v>
      </c>
      <c r="O17" s="98">
        <f t="shared" si="4"/>
        <v>631.5789473684209</v>
      </c>
      <c r="P17" s="98">
        <f t="shared" si="5"/>
        <v>630.7519640852973</v>
      </c>
    </row>
    <row r="18" spans="1:16" ht="27" customHeight="1">
      <c r="A18" s="10" t="s">
        <v>28</v>
      </c>
      <c r="B18" s="73">
        <v>222.99</v>
      </c>
      <c r="C18" s="73">
        <v>195.27</v>
      </c>
      <c r="D18" s="73">
        <v>226.34</v>
      </c>
      <c r="E18" s="73">
        <v>191.427</v>
      </c>
      <c r="F18" s="73">
        <v>142.469</v>
      </c>
      <c r="G18" s="80">
        <v>341.09</v>
      </c>
      <c r="H18" s="80">
        <v>286.14</v>
      </c>
      <c r="I18" s="80">
        <v>335.11</v>
      </c>
      <c r="J18" s="73">
        <v>269.857</v>
      </c>
      <c r="K18" s="73">
        <v>190.683</v>
      </c>
      <c r="L18" s="98">
        <f t="shared" si="2"/>
        <v>1529.6201623391182</v>
      </c>
      <c r="M18" s="98">
        <f t="shared" si="3"/>
        <v>1465.3556613919188</v>
      </c>
      <c r="N18" s="98">
        <f t="shared" si="1"/>
        <v>1480.560219139348</v>
      </c>
      <c r="O18" s="98">
        <f t="shared" si="4"/>
        <v>1409.7123185339583</v>
      </c>
      <c r="P18" s="98">
        <f t="shared" si="5"/>
        <v>1338.4174802939588</v>
      </c>
    </row>
    <row r="19" spans="1:16" ht="27" customHeight="1">
      <c r="A19" s="10" t="s">
        <v>19</v>
      </c>
      <c r="B19" s="73">
        <v>5.64</v>
      </c>
      <c r="C19" s="73">
        <v>6.38</v>
      </c>
      <c r="D19" s="73">
        <v>5.04</v>
      </c>
      <c r="E19" s="73">
        <v>5.5</v>
      </c>
      <c r="F19" s="73">
        <v>4.71</v>
      </c>
      <c r="G19" s="80">
        <v>1.75</v>
      </c>
      <c r="H19" s="80">
        <v>1.99</v>
      </c>
      <c r="I19" s="80">
        <v>1.57</v>
      </c>
      <c r="J19" s="73">
        <v>1.71</v>
      </c>
      <c r="K19" s="73">
        <v>1.47</v>
      </c>
      <c r="L19" s="98">
        <f t="shared" si="2"/>
        <v>310.28368794326246</v>
      </c>
      <c r="M19" s="98">
        <f t="shared" si="3"/>
        <v>311.91222570532915</v>
      </c>
      <c r="N19" s="98">
        <f t="shared" si="1"/>
        <v>311.5079365079365</v>
      </c>
      <c r="O19" s="98">
        <f t="shared" si="4"/>
        <v>310.90909090909093</v>
      </c>
      <c r="P19" s="98">
        <f t="shared" si="5"/>
        <v>312.10191082802544</v>
      </c>
    </row>
    <row r="20" spans="1:16" s="112" customFormat="1" ht="27" customHeight="1">
      <c r="A20" s="10" t="s">
        <v>86</v>
      </c>
      <c r="B20" s="73">
        <v>0</v>
      </c>
      <c r="C20" s="73">
        <v>0</v>
      </c>
      <c r="D20" s="73">
        <v>0</v>
      </c>
      <c r="E20" s="73">
        <v>0.18</v>
      </c>
      <c r="F20" s="73">
        <v>0</v>
      </c>
      <c r="G20" s="80">
        <v>0</v>
      </c>
      <c r="H20" s="80">
        <v>0</v>
      </c>
      <c r="I20" s="80">
        <v>0</v>
      </c>
      <c r="J20" s="73">
        <v>0.1</v>
      </c>
      <c r="K20" s="73">
        <v>0</v>
      </c>
      <c r="L20" s="98">
        <v>0</v>
      </c>
      <c r="M20" s="98">
        <v>0</v>
      </c>
      <c r="N20" s="98">
        <v>0</v>
      </c>
      <c r="O20" s="98">
        <f aca="true" t="shared" si="6" ref="L20:P23">J20/E20*1000</f>
        <v>555.5555555555555</v>
      </c>
      <c r="P20" s="98">
        <v>0</v>
      </c>
    </row>
    <row r="21" spans="1:16" ht="27" customHeight="1">
      <c r="A21" s="10" t="s">
        <v>116</v>
      </c>
      <c r="B21" s="73">
        <v>98.5</v>
      </c>
      <c r="C21" s="73">
        <v>119</v>
      </c>
      <c r="D21" s="73">
        <v>51</v>
      </c>
      <c r="E21" s="73">
        <v>48</v>
      </c>
      <c r="F21" s="73">
        <v>45</v>
      </c>
      <c r="G21" s="80">
        <v>52.5</v>
      </c>
      <c r="H21" s="80">
        <v>85.57</v>
      </c>
      <c r="I21" s="80">
        <v>30</v>
      </c>
      <c r="J21" s="73">
        <v>17</v>
      </c>
      <c r="K21" s="73">
        <v>26</v>
      </c>
      <c r="L21" s="98">
        <f t="shared" si="6"/>
        <v>532.9949238578681</v>
      </c>
      <c r="M21" s="98">
        <f t="shared" si="6"/>
        <v>719.0756302521007</v>
      </c>
      <c r="N21" s="98">
        <f t="shared" si="6"/>
        <v>588.2352941176471</v>
      </c>
      <c r="O21" s="98">
        <f t="shared" si="6"/>
        <v>354.1666666666667</v>
      </c>
      <c r="P21" s="98">
        <f t="shared" si="6"/>
        <v>577.7777777777777</v>
      </c>
    </row>
    <row r="22" spans="1:16" ht="27" customHeight="1">
      <c r="A22" s="10" t="s">
        <v>23</v>
      </c>
      <c r="B22" s="73">
        <v>0.08</v>
      </c>
      <c r="C22" s="73">
        <v>0.08</v>
      </c>
      <c r="D22" s="73">
        <v>0.08</v>
      </c>
      <c r="E22" s="73">
        <v>0.08</v>
      </c>
      <c r="F22" s="73">
        <v>0.062</v>
      </c>
      <c r="G22" s="80">
        <v>0.06</v>
      </c>
      <c r="H22" s="80">
        <v>0.06</v>
      </c>
      <c r="I22" s="80">
        <v>0.06</v>
      </c>
      <c r="J22" s="73">
        <v>0.06</v>
      </c>
      <c r="K22" s="73">
        <v>0.039</v>
      </c>
      <c r="L22" s="98">
        <f t="shared" si="6"/>
        <v>750</v>
      </c>
      <c r="M22" s="98">
        <f t="shared" si="6"/>
        <v>750</v>
      </c>
      <c r="N22" s="98">
        <f t="shared" si="6"/>
        <v>750</v>
      </c>
      <c r="O22" s="98">
        <f t="shared" si="6"/>
        <v>750</v>
      </c>
      <c r="P22" s="98">
        <f t="shared" si="6"/>
        <v>629.0322580645161</v>
      </c>
    </row>
    <row r="23" spans="1:16" s="145" customFormat="1" ht="27" customHeight="1">
      <c r="A23" s="63" t="s">
        <v>24</v>
      </c>
      <c r="B23" s="129">
        <f aca="true" t="shared" si="7" ref="B23:K23">SUM(B4:B22)</f>
        <v>1233.5870000000002</v>
      </c>
      <c r="C23" s="129">
        <f t="shared" si="7"/>
        <v>1063.197</v>
      </c>
      <c r="D23" s="129">
        <f t="shared" si="7"/>
        <v>1089.32</v>
      </c>
      <c r="E23" s="129">
        <f t="shared" si="7"/>
        <v>1060.729</v>
      </c>
      <c r="F23" s="129">
        <f t="shared" si="7"/>
        <v>807.917</v>
      </c>
      <c r="G23" s="129">
        <f t="shared" si="7"/>
        <v>1963.4729999999997</v>
      </c>
      <c r="H23" s="129">
        <f t="shared" si="7"/>
        <v>1726.5589999999997</v>
      </c>
      <c r="I23" s="129">
        <f t="shared" si="7"/>
        <v>1869.99</v>
      </c>
      <c r="J23" s="129">
        <f t="shared" si="7"/>
        <v>1751.8179999999998</v>
      </c>
      <c r="K23" s="129">
        <f t="shared" si="7"/>
        <v>1376.4209999999998</v>
      </c>
      <c r="L23" s="144">
        <f t="shared" si="6"/>
        <v>1591.677765735209</v>
      </c>
      <c r="M23" s="144">
        <f t="shared" si="6"/>
        <v>1623.93140687944</v>
      </c>
      <c r="N23" s="144">
        <f t="shared" si="6"/>
        <v>1716.6580986303384</v>
      </c>
      <c r="O23" s="144">
        <f t="shared" si="6"/>
        <v>1651.5226792140118</v>
      </c>
      <c r="P23" s="144">
        <f t="shared" si="6"/>
        <v>1703.6663419633448</v>
      </c>
    </row>
    <row r="24" spans="4:6" ht="15">
      <c r="D24" s="14"/>
      <c r="E24" s="14"/>
      <c r="F24" s="14"/>
    </row>
    <row r="25" spans="1:11" ht="15">
      <c r="A25" s="58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2:11" ht="15"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sheetProtection/>
  <mergeCells count="5">
    <mergeCell ref="A1:P1"/>
    <mergeCell ref="L2:P2"/>
    <mergeCell ref="A2:A3"/>
    <mergeCell ref="B2:F2"/>
    <mergeCell ref="G2:K2"/>
  </mergeCells>
  <printOptions horizontalCentered="1" verticalCentered="1"/>
  <pageMargins left="0.511811023622047" right="0.511811023622047" top="0.5" bottom="0.5" header="0" footer="0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38"/>
  <sheetViews>
    <sheetView view="pageBreakPreview" zoomScale="70" zoomScaleNormal="60" zoomScaleSheetLayoutView="70" zoomScalePageLayoutView="0" workbookViewId="0" topLeftCell="A1">
      <pane xSplit="1" ySplit="3" topLeftCell="B4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O18" sqref="O18"/>
    </sheetView>
  </sheetViews>
  <sheetFormatPr defaultColWidth="9.140625" defaultRowHeight="12.75"/>
  <cols>
    <col min="1" max="1" width="21.00390625" style="3" customWidth="1"/>
    <col min="2" max="3" width="11.00390625" style="3" customWidth="1"/>
    <col min="4" max="6" width="11.28125" style="3" customWidth="1"/>
    <col min="7" max="8" width="11.00390625" style="3" customWidth="1"/>
    <col min="9" max="9" width="12.28125" style="3" customWidth="1"/>
    <col min="10" max="11" width="12.28125" style="61" customWidth="1"/>
    <col min="12" max="12" width="10.57421875" style="3" customWidth="1"/>
    <col min="13" max="13" width="10.57421875" style="3" bestFit="1" customWidth="1"/>
    <col min="14" max="14" width="12.00390625" style="3" customWidth="1"/>
    <col min="15" max="16" width="12.00390625" style="61" customWidth="1"/>
    <col min="17" max="16384" width="9.140625" style="3" customWidth="1"/>
  </cols>
  <sheetData>
    <row r="1" spans="1:16" s="13" customFormat="1" ht="25.5" customHeight="1">
      <c r="A1" s="202" t="s">
        <v>129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35.25" customHeight="1">
      <c r="A2" s="203" t="s">
        <v>0</v>
      </c>
      <c r="B2" s="185" t="s">
        <v>81</v>
      </c>
      <c r="C2" s="186"/>
      <c r="D2" s="186"/>
      <c r="E2" s="186"/>
      <c r="F2" s="187"/>
      <c r="G2" s="185" t="s">
        <v>82</v>
      </c>
      <c r="H2" s="186"/>
      <c r="I2" s="186"/>
      <c r="J2" s="186"/>
      <c r="K2" s="187"/>
      <c r="L2" s="184" t="s">
        <v>79</v>
      </c>
      <c r="M2" s="184"/>
      <c r="N2" s="184"/>
      <c r="O2" s="184"/>
      <c r="P2" s="184"/>
    </row>
    <row r="3" spans="1:16" s="15" customFormat="1" ht="35.25" customHeight="1">
      <c r="A3" s="203"/>
      <c r="B3" s="133" t="s">
        <v>112</v>
      </c>
      <c r="C3" s="133" t="s">
        <v>113</v>
      </c>
      <c r="D3" s="133" t="s">
        <v>115</v>
      </c>
      <c r="E3" s="133" t="s">
        <v>121</v>
      </c>
      <c r="F3" s="133" t="s">
        <v>122</v>
      </c>
      <c r="G3" s="133" t="s">
        <v>112</v>
      </c>
      <c r="H3" s="133" t="s">
        <v>113</v>
      </c>
      <c r="I3" s="133" t="s">
        <v>115</v>
      </c>
      <c r="J3" s="133" t="s">
        <v>121</v>
      </c>
      <c r="K3" s="133" t="s">
        <v>122</v>
      </c>
      <c r="L3" s="133" t="s">
        <v>112</v>
      </c>
      <c r="M3" s="133" t="s">
        <v>113</v>
      </c>
      <c r="N3" s="133" t="s">
        <v>115</v>
      </c>
      <c r="O3" s="133" t="s">
        <v>121</v>
      </c>
      <c r="P3" s="133" t="s">
        <v>122</v>
      </c>
    </row>
    <row r="4" spans="1:16" ht="35.25" customHeight="1">
      <c r="A4" s="2" t="s">
        <v>1</v>
      </c>
      <c r="B4" s="73">
        <v>8</v>
      </c>
      <c r="C4" s="73">
        <v>9</v>
      </c>
      <c r="D4" s="73">
        <v>7</v>
      </c>
      <c r="E4" s="73">
        <v>7</v>
      </c>
      <c r="F4" s="73">
        <v>6</v>
      </c>
      <c r="G4" s="80">
        <v>6</v>
      </c>
      <c r="H4" s="80">
        <v>5</v>
      </c>
      <c r="I4" s="80">
        <v>3.15</v>
      </c>
      <c r="J4" s="73">
        <v>3</v>
      </c>
      <c r="K4" s="73">
        <v>2</v>
      </c>
      <c r="L4" s="98">
        <f>G4/B4*1000</f>
        <v>750</v>
      </c>
      <c r="M4" s="98">
        <f>H4/C4*1000</f>
        <v>555.5555555555555</v>
      </c>
      <c r="N4" s="98">
        <f>I4/D4*1000</f>
        <v>450</v>
      </c>
      <c r="O4" s="98">
        <f>J4/E4*1000</f>
        <v>428.57142857142856</v>
      </c>
      <c r="P4" s="98">
        <f>K4/F4*1000</f>
        <v>333.3333333333333</v>
      </c>
    </row>
    <row r="5" spans="1:16" ht="35.25" customHeight="1">
      <c r="A5" s="2" t="s">
        <v>33</v>
      </c>
      <c r="B5" s="73">
        <v>0</v>
      </c>
      <c r="C5" s="73">
        <v>0</v>
      </c>
      <c r="D5" s="73">
        <v>0.1</v>
      </c>
      <c r="E5" s="73">
        <v>0</v>
      </c>
      <c r="F5" s="73">
        <v>0.189</v>
      </c>
      <c r="G5" s="73">
        <v>0</v>
      </c>
      <c r="H5" s="73">
        <v>0</v>
      </c>
      <c r="I5" s="80">
        <v>0.05</v>
      </c>
      <c r="J5" s="73">
        <v>0</v>
      </c>
      <c r="K5" s="73">
        <v>0.188</v>
      </c>
      <c r="L5" s="98">
        <v>0</v>
      </c>
      <c r="M5" s="98">
        <v>0</v>
      </c>
      <c r="N5" s="98">
        <f aca="true" t="shared" si="0" ref="N5:N14">I5/D5*1000</f>
        <v>500</v>
      </c>
      <c r="O5" s="98">
        <v>0</v>
      </c>
      <c r="P5" s="98">
        <f aca="true" t="shared" si="1" ref="P5:P19">K5/F5*1000</f>
        <v>994.7089947089946</v>
      </c>
    </row>
    <row r="6" spans="1:16" ht="35.25" customHeight="1">
      <c r="A6" s="2" t="s">
        <v>29</v>
      </c>
      <c r="B6" s="73">
        <v>7.67</v>
      </c>
      <c r="C6" s="73">
        <v>7.27</v>
      </c>
      <c r="D6" s="73">
        <v>7.15</v>
      </c>
      <c r="E6" s="73">
        <v>6.534</v>
      </c>
      <c r="F6" s="73">
        <v>5.975</v>
      </c>
      <c r="G6" s="80">
        <v>4.06</v>
      </c>
      <c r="H6" s="80">
        <v>4.49</v>
      </c>
      <c r="I6" s="80">
        <v>4.43</v>
      </c>
      <c r="J6" s="73">
        <v>3.949</v>
      </c>
      <c r="K6" s="73">
        <v>3.315</v>
      </c>
      <c r="L6" s="98">
        <f aca="true" t="shared" si="2" ref="L6:M9">G6/B6*1000</f>
        <v>529.335071707953</v>
      </c>
      <c r="M6" s="98">
        <f t="shared" si="2"/>
        <v>617.6066024759285</v>
      </c>
      <c r="N6" s="98">
        <f t="shared" si="0"/>
        <v>619.5804195804195</v>
      </c>
      <c r="O6" s="98">
        <f aca="true" t="shared" si="3" ref="O5:O14">J6/E6*1000</f>
        <v>604.3771043771044</v>
      </c>
      <c r="P6" s="98">
        <f t="shared" si="1"/>
        <v>554.8117154811716</v>
      </c>
    </row>
    <row r="7" spans="1:16" ht="35.25" customHeight="1">
      <c r="A7" s="2" t="s">
        <v>27</v>
      </c>
      <c r="B7" s="73">
        <v>64.2</v>
      </c>
      <c r="C7" s="73">
        <v>65.1</v>
      </c>
      <c r="D7" s="73">
        <v>64.3</v>
      </c>
      <c r="E7" s="73">
        <v>61.4</v>
      </c>
      <c r="F7" s="73">
        <v>65.3</v>
      </c>
      <c r="G7" s="80">
        <v>11.4</v>
      </c>
      <c r="H7" s="80">
        <v>11.8</v>
      </c>
      <c r="I7" s="80">
        <v>11.4</v>
      </c>
      <c r="J7" s="73">
        <v>9.8</v>
      </c>
      <c r="K7" s="73">
        <v>12.2</v>
      </c>
      <c r="L7" s="98">
        <f t="shared" si="2"/>
        <v>177.57009345794393</v>
      </c>
      <c r="M7" s="98">
        <f t="shared" si="2"/>
        <v>181.25960061443936</v>
      </c>
      <c r="N7" s="98">
        <f t="shared" si="0"/>
        <v>177.29393468118198</v>
      </c>
      <c r="O7" s="98">
        <f t="shared" si="3"/>
        <v>159.60912052117266</v>
      </c>
      <c r="P7" s="98">
        <f t="shared" si="1"/>
        <v>186.83001531393566</v>
      </c>
    </row>
    <row r="8" spans="1:16" ht="35.25" customHeight="1">
      <c r="A8" s="24" t="s">
        <v>8</v>
      </c>
      <c r="B8" s="73">
        <v>7</v>
      </c>
      <c r="C8" s="73">
        <v>16</v>
      </c>
      <c r="D8" s="73">
        <v>6.56</v>
      </c>
      <c r="E8" s="73">
        <v>6</v>
      </c>
      <c r="F8" s="73">
        <v>5</v>
      </c>
      <c r="G8" s="80">
        <v>2</v>
      </c>
      <c r="H8" s="80">
        <v>5</v>
      </c>
      <c r="I8" s="80">
        <v>4.92</v>
      </c>
      <c r="J8" s="73">
        <v>3</v>
      </c>
      <c r="K8" s="73">
        <v>3</v>
      </c>
      <c r="L8" s="98">
        <f t="shared" si="2"/>
        <v>285.7142857142857</v>
      </c>
      <c r="M8" s="98">
        <f>H8/C8*1000</f>
        <v>312.5</v>
      </c>
      <c r="N8" s="98">
        <f t="shared" si="0"/>
        <v>750</v>
      </c>
      <c r="O8" s="98">
        <f t="shared" si="3"/>
        <v>500</v>
      </c>
      <c r="P8" s="98">
        <f t="shared" si="1"/>
        <v>600</v>
      </c>
    </row>
    <row r="9" spans="1:16" ht="35.25" customHeight="1">
      <c r="A9" s="24" t="s">
        <v>42</v>
      </c>
      <c r="B9" s="73">
        <v>0</v>
      </c>
      <c r="C9" s="73">
        <v>0</v>
      </c>
      <c r="D9" s="73">
        <v>0</v>
      </c>
      <c r="E9" s="73">
        <v>0</v>
      </c>
      <c r="F9" s="73">
        <v>1.234</v>
      </c>
      <c r="G9" s="73">
        <v>0</v>
      </c>
      <c r="H9" s="73">
        <v>0</v>
      </c>
      <c r="I9" s="73">
        <v>0</v>
      </c>
      <c r="J9" s="73">
        <v>0</v>
      </c>
      <c r="K9" s="80">
        <v>0.958</v>
      </c>
      <c r="L9" s="98">
        <v>0</v>
      </c>
      <c r="M9" s="98">
        <v>0</v>
      </c>
      <c r="N9" s="98">
        <v>0</v>
      </c>
      <c r="O9" s="98">
        <v>0</v>
      </c>
      <c r="P9" s="98">
        <f t="shared" si="1"/>
        <v>776.3371150729336</v>
      </c>
    </row>
    <row r="10" spans="1:16" ht="35.25" customHeight="1">
      <c r="A10" s="2" t="s">
        <v>31</v>
      </c>
      <c r="B10" s="73">
        <v>4.6</v>
      </c>
      <c r="C10" s="73">
        <v>3.89</v>
      </c>
      <c r="D10" s="73">
        <v>3.98</v>
      </c>
      <c r="E10" s="73">
        <v>3.603</v>
      </c>
      <c r="F10" s="73">
        <v>10.701</v>
      </c>
      <c r="G10" s="80">
        <v>2.42</v>
      </c>
      <c r="H10" s="80">
        <v>1.878</v>
      </c>
      <c r="I10" s="80">
        <v>2.4</v>
      </c>
      <c r="J10" s="73">
        <v>1.874</v>
      </c>
      <c r="K10" s="73">
        <v>7.501</v>
      </c>
      <c r="L10" s="98">
        <f aca="true" t="shared" si="4" ref="L10:L19">G10/B10*1000</f>
        <v>526.0869565217392</v>
      </c>
      <c r="M10" s="98">
        <f aca="true" t="shared" si="5" ref="M9:M14">H10/C10*1000</f>
        <v>482.7763496143959</v>
      </c>
      <c r="N10" s="98">
        <f t="shared" si="0"/>
        <v>603.0150753768844</v>
      </c>
      <c r="O10" s="98">
        <f t="shared" si="3"/>
        <v>520.1221204551763</v>
      </c>
      <c r="P10" s="98">
        <f t="shared" si="1"/>
        <v>700.962526866648</v>
      </c>
    </row>
    <row r="11" spans="1:16" ht="35.25" customHeight="1">
      <c r="A11" s="2" t="s">
        <v>11</v>
      </c>
      <c r="B11" s="73">
        <v>12</v>
      </c>
      <c r="C11" s="73">
        <v>14</v>
      </c>
      <c r="D11" s="73">
        <v>11</v>
      </c>
      <c r="E11" s="73">
        <v>7</v>
      </c>
      <c r="F11" s="73">
        <v>6</v>
      </c>
      <c r="G11" s="80">
        <v>3</v>
      </c>
      <c r="H11" s="80">
        <v>3</v>
      </c>
      <c r="I11" s="80">
        <v>3</v>
      </c>
      <c r="J11" s="73">
        <v>2</v>
      </c>
      <c r="K11" s="73">
        <v>1</v>
      </c>
      <c r="L11" s="98">
        <f t="shared" si="4"/>
        <v>250</v>
      </c>
      <c r="M11" s="98">
        <f t="shared" si="5"/>
        <v>214.28571428571428</v>
      </c>
      <c r="N11" s="98">
        <f t="shared" si="0"/>
        <v>272.7272727272727</v>
      </c>
      <c r="O11" s="98">
        <f t="shared" si="3"/>
        <v>285.7142857142857</v>
      </c>
      <c r="P11" s="98">
        <f t="shared" si="1"/>
        <v>166.66666666666666</v>
      </c>
    </row>
    <row r="12" spans="1:16" ht="35.25" customHeight="1">
      <c r="A12" s="2" t="s">
        <v>13</v>
      </c>
      <c r="B12" s="73">
        <v>86.9</v>
      </c>
      <c r="C12" s="73">
        <v>74.5</v>
      </c>
      <c r="D12" s="73">
        <v>43</v>
      </c>
      <c r="E12" s="73">
        <v>80</v>
      </c>
      <c r="F12" s="73">
        <v>74</v>
      </c>
      <c r="G12" s="80">
        <v>29.8</v>
      </c>
      <c r="H12" s="80">
        <v>27.5</v>
      </c>
      <c r="I12" s="80">
        <v>16</v>
      </c>
      <c r="J12" s="73">
        <v>23</v>
      </c>
      <c r="K12" s="73">
        <v>27</v>
      </c>
      <c r="L12" s="98">
        <f t="shared" si="4"/>
        <v>342.9228998849252</v>
      </c>
      <c r="M12" s="98">
        <f t="shared" si="5"/>
        <v>369.1275167785235</v>
      </c>
      <c r="N12" s="98">
        <f t="shared" si="0"/>
        <v>372.09302325581393</v>
      </c>
      <c r="O12" s="98">
        <f t="shared" si="3"/>
        <v>287.5</v>
      </c>
      <c r="P12" s="98">
        <f t="shared" si="1"/>
        <v>364.86486486486484</v>
      </c>
    </row>
    <row r="13" spans="1:16" ht="35.25" customHeight="1">
      <c r="A13" s="10" t="s">
        <v>14</v>
      </c>
      <c r="B13" s="73">
        <v>40</v>
      </c>
      <c r="C13" s="73">
        <v>40</v>
      </c>
      <c r="D13" s="73">
        <v>16</v>
      </c>
      <c r="E13" s="73">
        <v>12</v>
      </c>
      <c r="F13" s="73">
        <v>14.1</v>
      </c>
      <c r="G13" s="80">
        <v>12</v>
      </c>
      <c r="H13" s="80">
        <v>13</v>
      </c>
      <c r="I13" s="80">
        <v>3</v>
      </c>
      <c r="J13" s="73">
        <v>2</v>
      </c>
      <c r="K13" s="73">
        <v>2.3</v>
      </c>
      <c r="L13" s="98">
        <f t="shared" si="4"/>
        <v>300</v>
      </c>
      <c r="M13" s="98">
        <f t="shared" si="5"/>
        <v>325</v>
      </c>
      <c r="N13" s="98">
        <f t="shared" si="0"/>
        <v>187.5</v>
      </c>
      <c r="O13" s="98">
        <f t="shared" si="3"/>
        <v>166.66666666666666</v>
      </c>
      <c r="P13" s="98">
        <f t="shared" si="1"/>
        <v>163.1205673758865</v>
      </c>
    </row>
    <row r="14" spans="1:16" ht="35.25" customHeight="1">
      <c r="A14" s="19" t="s">
        <v>118</v>
      </c>
      <c r="B14" s="80">
        <v>76.042</v>
      </c>
      <c r="C14" s="80">
        <v>64.84</v>
      </c>
      <c r="D14" s="80">
        <v>68.9</v>
      </c>
      <c r="E14" s="73">
        <f>60.91+3.02</f>
        <v>63.93</v>
      </c>
      <c r="F14" s="73">
        <v>63.75</v>
      </c>
      <c r="G14" s="80">
        <v>27.35</v>
      </c>
      <c r="H14" s="80">
        <v>23.29</v>
      </c>
      <c r="I14" s="80">
        <v>24.94</v>
      </c>
      <c r="J14" s="73">
        <v>22.55</v>
      </c>
      <c r="K14" s="73">
        <v>22.66</v>
      </c>
      <c r="L14" s="98">
        <f t="shared" si="4"/>
        <v>359.6696562426028</v>
      </c>
      <c r="M14" s="98">
        <f t="shared" si="5"/>
        <v>359.19185687847005</v>
      </c>
      <c r="N14" s="98">
        <f t="shared" si="0"/>
        <v>361.97387518142233</v>
      </c>
      <c r="O14" s="98">
        <f t="shared" si="3"/>
        <v>352.7295479430627</v>
      </c>
      <c r="P14" s="98">
        <f t="shared" si="1"/>
        <v>355.4509803921569</v>
      </c>
    </row>
    <row r="15" spans="1:16" ht="35.25" customHeight="1">
      <c r="A15" s="19" t="s">
        <v>19</v>
      </c>
      <c r="B15" s="73">
        <v>0</v>
      </c>
      <c r="C15" s="73">
        <v>0</v>
      </c>
      <c r="D15" s="73">
        <v>0</v>
      </c>
      <c r="E15" s="81"/>
      <c r="F15" s="73">
        <v>0</v>
      </c>
      <c r="G15" s="73">
        <v>0</v>
      </c>
      <c r="H15" s="73">
        <v>0</v>
      </c>
      <c r="I15" s="73">
        <v>0</v>
      </c>
      <c r="J15" s="81"/>
      <c r="K15" s="73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</row>
    <row r="16" spans="1:16" ht="35.25" customHeight="1">
      <c r="A16" s="19" t="s">
        <v>116</v>
      </c>
      <c r="B16" s="80">
        <v>0</v>
      </c>
      <c r="C16" s="80">
        <v>0</v>
      </c>
      <c r="D16" s="80">
        <v>0</v>
      </c>
      <c r="E16" s="73">
        <v>0</v>
      </c>
      <c r="F16" s="73">
        <v>0</v>
      </c>
      <c r="G16" s="80">
        <v>0</v>
      </c>
      <c r="H16" s="80">
        <v>0</v>
      </c>
      <c r="I16" s="80">
        <v>0</v>
      </c>
      <c r="J16" s="73">
        <v>0</v>
      </c>
      <c r="K16" s="73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</row>
    <row r="17" spans="1:16" ht="35.25" customHeight="1">
      <c r="A17" s="2" t="s">
        <v>23</v>
      </c>
      <c r="B17" s="73">
        <v>4</v>
      </c>
      <c r="C17" s="73">
        <v>4</v>
      </c>
      <c r="D17" s="73">
        <v>4</v>
      </c>
      <c r="E17" s="73">
        <v>4.2</v>
      </c>
      <c r="F17" s="73">
        <v>4.134</v>
      </c>
      <c r="G17" s="80">
        <v>2.8</v>
      </c>
      <c r="H17" s="80">
        <v>2.8</v>
      </c>
      <c r="I17" s="80">
        <v>2.8</v>
      </c>
      <c r="J17" s="73">
        <v>3.1</v>
      </c>
      <c r="K17" s="73">
        <v>3.009</v>
      </c>
      <c r="L17" s="98">
        <f t="shared" si="4"/>
        <v>700</v>
      </c>
      <c r="M17" s="98">
        <f aca="true" t="shared" si="6" ref="M15:O19">H17/C17*1000</f>
        <v>700</v>
      </c>
      <c r="N17" s="98">
        <f t="shared" si="6"/>
        <v>700</v>
      </c>
      <c r="O17" s="98">
        <f t="shared" si="6"/>
        <v>738.0952380952382</v>
      </c>
      <c r="P17" s="98">
        <f t="shared" si="1"/>
        <v>727.866473149492</v>
      </c>
    </row>
    <row r="18" spans="1:16" ht="35.25" customHeight="1">
      <c r="A18" s="2" t="s">
        <v>32</v>
      </c>
      <c r="B18" s="73">
        <v>0</v>
      </c>
      <c r="C18" s="73">
        <v>0.14</v>
      </c>
      <c r="D18" s="73">
        <v>0.14</v>
      </c>
      <c r="E18" s="73">
        <v>0</v>
      </c>
      <c r="F18" s="73">
        <v>0.03</v>
      </c>
      <c r="G18" s="73">
        <v>0</v>
      </c>
      <c r="H18" s="80">
        <v>0.08</v>
      </c>
      <c r="I18" s="80">
        <v>0.08</v>
      </c>
      <c r="J18" s="73">
        <v>0</v>
      </c>
      <c r="K18" s="80">
        <v>0.011</v>
      </c>
      <c r="L18" s="98">
        <v>0</v>
      </c>
      <c r="M18" s="98">
        <f t="shared" si="6"/>
        <v>571.4285714285714</v>
      </c>
      <c r="N18" s="98">
        <f t="shared" si="6"/>
        <v>571.4285714285714</v>
      </c>
      <c r="O18" s="98">
        <v>0</v>
      </c>
      <c r="P18" s="98">
        <f t="shared" si="1"/>
        <v>366.66666666666663</v>
      </c>
    </row>
    <row r="19" spans="1:16" ht="35.25" customHeight="1">
      <c r="A19" s="2" t="s">
        <v>24</v>
      </c>
      <c r="B19" s="73">
        <f aca="true" t="shared" si="7" ref="B19:K19">SUM(B4:B18)</f>
        <v>310.41200000000003</v>
      </c>
      <c r="C19" s="73">
        <f t="shared" si="7"/>
        <v>298.74</v>
      </c>
      <c r="D19" s="73">
        <f t="shared" si="7"/>
        <v>232.13</v>
      </c>
      <c r="E19" s="73">
        <f t="shared" si="7"/>
        <v>251.66699999999997</v>
      </c>
      <c r="F19" s="73">
        <f t="shared" si="7"/>
        <v>256.41299999999995</v>
      </c>
      <c r="G19" s="73">
        <f t="shared" si="7"/>
        <v>100.83</v>
      </c>
      <c r="H19" s="73">
        <f t="shared" si="7"/>
        <v>97.838</v>
      </c>
      <c r="I19" s="73">
        <f t="shared" si="7"/>
        <v>76.17</v>
      </c>
      <c r="J19" s="73">
        <f t="shared" si="7"/>
        <v>74.273</v>
      </c>
      <c r="K19" s="73">
        <f t="shared" si="7"/>
        <v>85.142</v>
      </c>
      <c r="L19" s="98">
        <f t="shared" si="4"/>
        <v>324.8263598056776</v>
      </c>
      <c r="M19" s="98">
        <f t="shared" si="6"/>
        <v>327.50217580504784</v>
      </c>
      <c r="N19" s="98">
        <f t="shared" si="6"/>
        <v>328.13509671304877</v>
      </c>
      <c r="O19" s="98">
        <f t="shared" si="6"/>
        <v>295.12411241839413</v>
      </c>
      <c r="P19" s="98">
        <f t="shared" si="1"/>
        <v>332.05024706235645</v>
      </c>
    </row>
    <row r="20" ht="15">
      <c r="A20" s="58"/>
    </row>
    <row r="21" spans="2:11" ht="15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ht="15"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37" ht="15.75" thickBot="1"/>
    <row r="38" ht="15.75" thickBot="1">
      <c r="L38" s="11"/>
    </row>
  </sheetData>
  <sheetProtection/>
  <mergeCells count="5">
    <mergeCell ref="G2:K2"/>
    <mergeCell ref="L2:P2"/>
    <mergeCell ref="A2:A3"/>
    <mergeCell ref="B2:F2"/>
    <mergeCell ref="A1:P1"/>
  </mergeCells>
  <printOptions horizontalCentered="1"/>
  <pageMargins left="0.5118110236220472" right="0.5118110236220472" top="0.984251968503937" bottom="0" header="0.5118110236220472" footer="0.5118110236220472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45"/>
  <sheetViews>
    <sheetView view="pageBreakPreview" zoomScale="70" zoomScaleNormal="60" zoomScaleSheetLayoutView="70" zoomScalePageLayoutView="0" workbookViewId="0" topLeftCell="A1">
      <pane xSplit="1" ySplit="3" topLeftCell="B31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N32" sqref="N32:O32"/>
    </sheetView>
  </sheetViews>
  <sheetFormatPr defaultColWidth="9.140625" defaultRowHeight="12.75"/>
  <cols>
    <col min="1" max="1" width="21.7109375" style="3" customWidth="1"/>
    <col min="2" max="3" width="10.7109375" style="3" customWidth="1"/>
    <col min="4" max="4" width="11.140625" style="3" customWidth="1"/>
    <col min="5" max="6" width="11.140625" style="61" customWidth="1"/>
    <col min="7" max="7" width="10.00390625" style="3" customWidth="1"/>
    <col min="8" max="8" width="10.7109375" style="3" customWidth="1"/>
    <col min="9" max="9" width="11.140625" style="3" customWidth="1"/>
    <col min="10" max="10" width="11.8515625" style="3" bestFit="1" customWidth="1"/>
    <col min="11" max="11" width="11.8515625" style="3" customWidth="1"/>
    <col min="12" max="12" width="11.140625" style="3" customWidth="1"/>
    <col min="13" max="13" width="10.57421875" style="3" bestFit="1" customWidth="1"/>
    <col min="14" max="16" width="10.7109375" style="3" customWidth="1"/>
    <col min="17" max="16384" width="9.140625" style="3" customWidth="1"/>
  </cols>
  <sheetData>
    <row r="1" spans="1:16" ht="30.75" customHeight="1">
      <c r="A1" s="202" t="s">
        <v>130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9.25" customHeight="1">
      <c r="A2" s="203" t="s">
        <v>0</v>
      </c>
      <c r="B2" s="185" t="s">
        <v>81</v>
      </c>
      <c r="C2" s="186"/>
      <c r="D2" s="186"/>
      <c r="E2" s="186"/>
      <c r="F2" s="187"/>
      <c r="G2" s="185" t="s">
        <v>82</v>
      </c>
      <c r="H2" s="186"/>
      <c r="I2" s="186"/>
      <c r="J2" s="186"/>
      <c r="K2" s="187"/>
      <c r="L2" s="184" t="s">
        <v>79</v>
      </c>
      <c r="M2" s="184"/>
      <c r="N2" s="184"/>
      <c r="O2" s="184"/>
      <c r="P2" s="184"/>
    </row>
    <row r="3" spans="1:16" s="15" customFormat="1" ht="36.75" customHeight="1">
      <c r="A3" s="203"/>
      <c r="B3" s="127" t="s">
        <v>112</v>
      </c>
      <c r="C3" s="127" t="s">
        <v>113</v>
      </c>
      <c r="D3" s="127" t="s">
        <v>115</v>
      </c>
      <c r="E3" s="133" t="s">
        <v>121</v>
      </c>
      <c r="F3" s="133" t="s">
        <v>122</v>
      </c>
      <c r="G3" s="127" t="s">
        <v>112</v>
      </c>
      <c r="H3" s="127" t="s">
        <v>113</v>
      </c>
      <c r="I3" s="127" t="s">
        <v>115</v>
      </c>
      <c r="J3" s="127" t="s">
        <v>121</v>
      </c>
      <c r="K3" s="133" t="s">
        <v>122</v>
      </c>
      <c r="L3" s="127" t="s">
        <v>112</v>
      </c>
      <c r="M3" s="127" t="s">
        <v>113</v>
      </c>
      <c r="N3" s="127" t="s">
        <v>115</v>
      </c>
      <c r="O3" s="127" t="s">
        <v>121</v>
      </c>
      <c r="P3" s="133" t="s">
        <v>122</v>
      </c>
    </row>
    <row r="4" spans="1:16" ht="23.25" customHeight="1">
      <c r="A4" s="2" t="s">
        <v>1</v>
      </c>
      <c r="B4" s="73">
        <v>44</v>
      </c>
      <c r="C4" s="73">
        <v>45.77</v>
      </c>
      <c r="D4" s="73">
        <v>85</v>
      </c>
      <c r="E4" s="73">
        <f>28+25</f>
        <v>53</v>
      </c>
      <c r="F4" s="73">
        <v>64</v>
      </c>
      <c r="G4" s="73">
        <v>12.41</v>
      </c>
      <c r="H4" s="73">
        <v>16.92</v>
      </c>
      <c r="I4" s="73">
        <v>28</v>
      </c>
      <c r="J4" s="73">
        <f>5+9</f>
        <v>14</v>
      </c>
      <c r="K4" s="73">
        <v>17</v>
      </c>
      <c r="L4" s="98">
        <f aca="true" t="shared" si="0" ref="L4:L17">G4/B4*1000</f>
        <v>282.04545454545456</v>
      </c>
      <c r="M4" s="98">
        <f aca="true" t="shared" si="1" ref="M4:M17">H4/C4*1000</f>
        <v>369.6744592527857</v>
      </c>
      <c r="N4" s="98">
        <f aca="true" t="shared" si="2" ref="N4:N17">I4/D4*1000</f>
        <v>329.4117647058824</v>
      </c>
      <c r="O4" s="98">
        <f aca="true" t="shared" si="3" ref="O4:P19">J4/E4*1000</f>
        <v>264.1509433962264</v>
      </c>
      <c r="P4" s="98">
        <f t="shared" si="3"/>
        <v>265.625</v>
      </c>
    </row>
    <row r="5" spans="1:16" ht="23.25" customHeight="1">
      <c r="A5" s="2" t="s">
        <v>33</v>
      </c>
      <c r="B5" s="73">
        <v>1.709</v>
      </c>
      <c r="C5" s="73">
        <v>1.6</v>
      </c>
      <c r="D5" s="73">
        <v>1.72</v>
      </c>
      <c r="E5" s="73">
        <v>1.724</v>
      </c>
      <c r="F5" s="73">
        <v>2.019</v>
      </c>
      <c r="G5" s="73">
        <v>0</v>
      </c>
      <c r="H5" s="73">
        <v>1.31</v>
      </c>
      <c r="I5" s="73">
        <v>0.71</v>
      </c>
      <c r="J5" s="73">
        <v>0.765</v>
      </c>
      <c r="K5" s="73">
        <v>1.795</v>
      </c>
      <c r="L5" s="98">
        <f t="shared" si="0"/>
        <v>0</v>
      </c>
      <c r="M5" s="98">
        <f t="shared" si="1"/>
        <v>818.75</v>
      </c>
      <c r="N5" s="98">
        <f t="shared" si="2"/>
        <v>412.7906976744186</v>
      </c>
      <c r="O5" s="98">
        <f t="shared" si="3"/>
        <v>443.7354988399072</v>
      </c>
      <c r="P5" s="98">
        <f t="shared" si="3"/>
        <v>889.0539871223377</v>
      </c>
    </row>
    <row r="6" spans="1:16" ht="23.25" customHeight="1">
      <c r="A6" s="2" t="s">
        <v>29</v>
      </c>
      <c r="B6" s="73">
        <v>11.41</v>
      </c>
      <c r="C6" s="73">
        <v>11.7</v>
      </c>
      <c r="D6" s="73">
        <v>12.17</v>
      </c>
      <c r="E6" s="73">
        <v>11.77</v>
      </c>
      <c r="F6" s="73">
        <v>11.874</v>
      </c>
      <c r="G6" s="73">
        <v>8.01</v>
      </c>
      <c r="H6" s="73">
        <v>8.57</v>
      </c>
      <c r="I6" s="73">
        <v>9.23</v>
      </c>
      <c r="J6" s="73">
        <v>7.999</v>
      </c>
      <c r="K6" s="73">
        <v>8.39</v>
      </c>
      <c r="L6" s="98">
        <f t="shared" si="0"/>
        <v>702.0157756354075</v>
      </c>
      <c r="M6" s="98">
        <f t="shared" si="1"/>
        <v>732.4786324786326</v>
      </c>
      <c r="N6" s="98">
        <f t="shared" si="2"/>
        <v>758.4223500410848</v>
      </c>
      <c r="O6" s="98">
        <f t="shared" si="3"/>
        <v>679.6091758708582</v>
      </c>
      <c r="P6" s="98">
        <f t="shared" si="3"/>
        <v>706.5858177530739</v>
      </c>
    </row>
    <row r="7" spans="1:16" ht="23.25" customHeight="1">
      <c r="A7" s="2" t="s">
        <v>34</v>
      </c>
      <c r="B7" s="73">
        <v>2.21</v>
      </c>
      <c r="C7" s="73">
        <v>2.28</v>
      </c>
      <c r="D7" s="73">
        <v>2.93</v>
      </c>
      <c r="E7" s="73">
        <v>2.754</v>
      </c>
      <c r="F7" s="73">
        <v>2.027</v>
      </c>
      <c r="G7" s="73">
        <v>1.95</v>
      </c>
      <c r="H7" s="73">
        <v>1.99</v>
      </c>
      <c r="I7" s="73">
        <v>2.56</v>
      </c>
      <c r="J7" s="73">
        <v>2.39</v>
      </c>
      <c r="K7" s="73">
        <v>1.777</v>
      </c>
      <c r="L7" s="98">
        <f t="shared" si="0"/>
        <v>882.3529411764706</v>
      </c>
      <c r="M7" s="98">
        <f t="shared" si="1"/>
        <v>872.8070175438597</v>
      </c>
      <c r="N7" s="98">
        <f t="shared" si="2"/>
        <v>873.7201365187714</v>
      </c>
      <c r="O7" s="98">
        <f t="shared" si="3"/>
        <v>867.8286129266521</v>
      </c>
      <c r="P7" s="98">
        <f t="shared" si="3"/>
        <v>876.6650222002959</v>
      </c>
    </row>
    <row r="8" spans="1:16" ht="23.25" customHeight="1">
      <c r="A8" s="2" t="s">
        <v>30</v>
      </c>
      <c r="B8" s="73">
        <v>18.8</v>
      </c>
      <c r="C8" s="73">
        <v>17.8</v>
      </c>
      <c r="D8" s="73">
        <v>17.6</v>
      </c>
      <c r="E8" s="73">
        <v>18.9</v>
      </c>
      <c r="F8" s="73">
        <v>19.7</v>
      </c>
      <c r="G8" s="73">
        <v>5.5</v>
      </c>
      <c r="H8" s="73">
        <v>5</v>
      </c>
      <c r="I8" s="73">
        <v>8</v>
      </c>
      <c r="J8" s="73">
        <v>6.5</v>
      </c>
      <c r="K8" s="73">
        <v>7.9</v>
      </c>
      <c r="L8" s="98">
        <f t="shared" si="0"/>
        <v>292.5531914893617</v>
      </c>
      <c r="M8" s="98">
        <f t="shared" si="1"/>
        <v>280.89887640449433</v>
      </c>
      <c r="N8" s="98">
        <f t="shared" si="2"/>
        <v>454.5454545454545</v>
      </c>
      <c r="O8" s="98">
        <f t="shared" si="3"/>
        <v>343.91534391534395</v>
      </c>
      <c r="P8" s="98">
        <f t="shared" si="3"/>
        <v>401.015228426396</v>
      </c>
    </row>
    <row r="9" spans="1:16" ht="23.25" customHeight="1">
      <c r="A9" s="2" t="s">
        <v>8</v>
      </c>
      <c r="B9" s="73">
        <v>132</v>
      </c>
      <c r="C9" s="73">
        <v>236</v>
      </c>
      <c r="D9" s="73">
        <v>181</v>
      </c>
      <c r="E9" s="73">
        <f>153+11</f>
        <v>164</v>
      </c>
      <c r="F9" s="73">
        <v>150</v>
      </c>
      <c r="G9" s="73">
        <v>34</v>
      </c>
      <c r="H9" s="73">
        <v>121</v>
      </c>
      <c r="I9" s="73">
        <v>102</v>
      </c>
      <c r="J9" s="73">
        <f>59+5</f>
        <v>64</v>
      </c>
      <c r="K9" s="73">
        <v>78</v>
      </c>
      <c r="L9" s="98">
        <f t="shared" si="0"/>
        <v>257.57575757575756</v>
      </c>
      <c r="M9" s="98">
        <f t="shared" si="1"/>
        <v>512.7118644067797</v>
      </c>
      <c r="N9" s="98">
        <f t="shared" si="2"/>
        <v>563.5359116022099</v>
      </c>
      <c r="O9" s="98">
        <f t="shared" si="3"/>
        <v>390.2439024390244</v>
      </c>
      <c r="P9" s="98">
        <f t="shared" si="3"/>
        <v>520</v>
      </c>
    </row>
    <row r="10" spans="1:16" ht="23.25" customHeight="1">
      <c r="A10" s="2" t="s">
        <v>35</v>
      </c>
      <c r="B10" s="73">
        <v>2.8</v>
      </c>
      <c r="C10" s="73">
        <v>1.3</v>
      </c>
      <c r="D10" s="73">
        <v>2.1</v>
      </c>
      <c r="E10" s="73">
        <v>3.4</v>
      </c>
      <c r="F10" s="73">
        <v>1.6</v>
      </c>
      <c r="G10" s="73">
        <v>1</v>
      </c>
      <c r="H10" s="73">
        <v>0.7</v>
      </c>
      <c r="I10" s="73">
        <v>0.8</v>
      </c>
      <c r="J10" s="73">
        <v>1.3</v>
      </c>
      <c r="K10" s="73">
        <v>0.64</v>
      </c>
      <c r="L10" s="98">
        <f t="shared" si="0"/>
        <v>357.14285714285717</v>
      </c>
      <c r="M10" s="98">
        <f t="shared" si="1"/>
        <v>538.4615384615385</v>
      </c>
      <c r="N10" s="98">
        <f t="shared" si="2"/>
        <v>380.9523809523809</v>
      </c>
      <c r="O10" s="98">
        <f t="shared" si="3"/>
        <v>382.3529411764706</v>
      </c>
      <c r="P10" s="98">
        <f t="shared" si="3"/>
        <v>399.99999999999994</v>
      </c>
    </row>
    <row r="11" spans="1:16" ht="23.25" customHeight="1">
      <c r="A11" s="2" t="s">
        <v>46</v>
      </c>
      <c r="B11" s="73">
        <v>2.71</v>
      </c>
      <c r="C11" s="73">
        <v>1.87</v>
      </c>
      <c r="D11" s="73">
        <v>2.05</v>
      </c>
      <c r="E11" s="73">
        <v>2.6</v>
      </c>
      <c r="F11" s="73">
        <v>2.295</v>
      </c>
      <c r="G11" s="73">
        <v>0.96</v>
      </c>
      <c r="H11" s="73">
        <v>0.65</v>
      </c>
      <c r="I11" s="73">
        <v>0.72</v>
      </c>
      <c r="J11" s="73">
        <v>0.9</v>
      </c>
      <c r="K11" s="73">
        <v>0.814</v>
      </c>
      <c r="L11" s="98">
        <f t="shared" si="0"/>
        <v>354.24354243542433</v>
      </c>
      <c r="M11" s="98">
        <f t="shared" si="1"/>
        <v>347.59358288770056</v>
      </c>
      <c r="N11" s="98">
        <f t="shared" si="2"/>
        <v>351.219512195122</v>
      </c>
      <c r="O11" s="98">
        <f t="shared" si="3"/>
        <v>346.15384615384613</v>
      </c>
      <c r="P11" s="98">
        <f t="shared" si="3"/>
        <v>354.6840958605664</v>
      </c>
    </row>
    <row r="12" spans="1:16" ht="23.25" customHeight="1">
      <c r="A12" s="2" t="s">
        <v>36</v>
      </c>
      <c r="B12" s="73">
        <v>4.79</v>
      </c>
      <c r="C12" s="73">
        <v>4.93</v>
      </c>
      <c r="D12" s="73">
        <v>3.8</v>
      </c>
      <c r="E12" s="73">
        <v>3.739</v>
      </c>
      <c r="F12" s="73">
        <v>5.747</v>
      </c>
      <c r="G12" s="73">
        <v>2.09</v>
      </c>
      <c r="H12" s="73">
        <v>2.15</v>
      </c>
      <c r="I12" s="73">
        <v>1.57</v>
      </c>
      <c r="J12" s="73">
        <v>1.5325</v>
      </c>
      <c r="K12" s="73">
        <v>2.496</v>
      </c>
      <c r="L12" s="98">
        <f t="shared" si="0"/>
        <v>436.3256784968684</v>
      </c>
      <c r="M12" s="98">
        <f t="shared" si="1"/>
        <v>436.105476673428</v>
      </c>
      <c r="N12" s="98">
        <f t="shared" si="2"/>
        <v>413.1578947368422</v>
      </c>
      <c r="O12" s="98">
        <f t="shared" si="3"/>
        <v>409.86894891682266</v>
      </c>
      <c r="P12" s="98">
        <f t="shared" si="3"/>
        <v>434.31355489820777</v>
      </c>
    </row>
    <row r="13" spans="1:16" ht="23.25" customHeight="1">
      <c r="A13" s="2" t="s">
        <v>31</v>
      </c>
      <c r="B13" s="73">
        <v>8.25</v>
      </c>
      <c r="C13" s="73">
        <v>5.55</v>
      </c>
      <c r="D13" s="73">
        <v>6.43</v>
      </c>
      <c r="E13" s="73">
        <v>5.169</v>
      </c>
      <c r="F13" s="73">
        <v>6.407</v>
      </c>
      <c r="G13" s="73">
        <v>2.92</v>
      </c>
      <c r="H13" s="73">
        <v>2.084</v>
      </c>
      <c r="I13" s="73">
        <v>2.31</v>
      </c>
      <c r="J13" s="73">
        <v>1.828</v>
      </c>
      <c r="K13" s="73">
        <v>3.106</v>
      </c>
      <c r="L13" s="98">
        <f t="shared" si="0"/>
        <v>353.93939393939394</v>
      </c>
      <c r="M13" s="98">
        <f t="shared" si="1"/>
        <v>375.49549549549556</v>
      </c>
      <c r="N13" s="98">
        <f t="shared" si="2"/>
        <v>359.253499222395</v>
      </c>
      <c r="O13" s="98">
        <f t="shared" si="3"/>
        <v>353.6467401818534</v>
      </c>
      <c r="P13" s="98">
        <f t="shared" si="3"/>
        <v>484.78226939285156</v>
      </c>
    </row>
    <row r="14" spans="1:16" ht="23.25" customHeight="1">
      <c r="A14" s="2" t="s">
        <v>11</v>
      </c>
      <c r="B14" s="73">
        <v>73</v>
      </c>
      <c r="C14" s="73">
        <v>41</v>
      </c>
      <c r="D14" s="73">
        <v>44</v>
      </c>
      <c r="E14" s="73">
        <v>51</v>
      </c>
      <c r="F14" s="73">
        <v>35</v>
      </c>
      <c r="G14" s="73">
        <v>38.252</v>
      </c>
      <c r="H14" s="73">
        <v>23</v>
      </c>
      <c r="I14" s="73">
        <v>22</v>
      </c>
      <c r="J14" s="73">
        <v>24</v>
      </c>
      <c r="K14" s="73">
        <v>22</v>
      </c>
      <c r="L14" s="98">
        <f t="shared" si="0"/>
        <v>524</v>
      </c>
      <c r="M14" s="98">
        <f t="shared" si="1"/>
        <v>560.9756097560976</v>
      </c>
      <c r="N14" s="98">
        <f t="shared" si="2"/>
        <v>500</v>
      </c>
      <c r="O14" s="98">
        <f t="shared" si="3"/>
        <v>470.5882352941176</v>
      </c>
      <c r="P14" s="98">
        <f t="shared" si="3"/>
        <v>628.5714285714286</v>
      </c>
    </row>
    <row r="15" spans="1:16" ht="23.25" customHeight="1">
      <c r="A15" s="2" t="s">
        <v>12</v>
      </c>
      <c r="B15" s="73">
        <v>0.26</v>
      </c>
      <c r="C15" s="73">
        <v>0.27</v>
      </c>
      <c r="D15" s="73">
        <v>0.26</v>
      </c>
      <c r="E15" s="73">
        <v>0.187</v>
      </c>
      <c r="F15" s="73">
        <v>0.179</v>
      </c>
      <c r="G15" s="73">
        <v>0.098</v>
      </c>
      <c r="H15" s="73">
        <v>0.09</v>
      </c>
      <c r="I15" s="73">
        <v>0.09</v>
      </c>
      <c r="J15" s="73">
        <v>0.048</v>
      </c>
      <c r="K15" s="73">
        <v>0.06</v>
      </c>
      <c r="L15" s="98">
        <f t="shared" si="0"/>
        <v>376.9230769230769</v>
      </c>
      <c r="M15" s="98">
        <f t="shared" si="1"/>
        <v>333.3333333333333</v>
      </c>
      <c r="N15" s="98">
        <f t="shared" si="2"/>
        <v>346.15384615384613</v>
      </c>
      <c r="O15" s="98">
        <f t="shared" si="3"/>
        <v>256.6844919786096</v>
      </c>
      <c r="P15" s="98">
        <f t="shared" si="3"/>
        <v>335.19553072625695</v>
      </c>
    </row>
    <row r="16" spans="1:16" ht="23.25" customHeight="1">
      <c r="A16" s="2" t="s">
        <v>13</v>
      </c>
      <c r="B16" s="73">
        <v>314.5</v>
      </c>
      <c r="C16" s="73">
        <v>266.9</v>
      </c>
      <c r="D16" s="73">
        <v>359</v>
      </c>
      <c r="E16" s="73">
        <v>365</v>
      </c>
      <c r="F16" s="73">
        <v>380</v>
      </c>
      <c r="G16" s="73">
        <v>157.1</v>
      </c>
      <c r="H16" s="73">
        <v>140.1225</v>
      </c>
      <c r="I16" s="73">
        <v>186</v>
      </c>
      <c r="J16" s="73">
        <v>179.58</v>
      </c>
      <c r="K16" s="73">
        <v>165</v>
      </c>
      <c r="L16" s="98">
        <f t="shared" si="0"/>
        <v>499.5230524642289</v>
      </c>
      <c r="M16" s="98">
        <f t="shared" si="1"/>
        <v>525</v>
      </c>
      <c r="N16" s="98">
        <f t="shared" si="2"/>
        <v>518.1058495821726</v>
      </c>
      <c r="O16" s="98">
        <f t="shared" si="3"/>
        <v>492.00000000000006</v>
      </c>
      <c r="P16" s="98">
        <f t="shared" si="3"/>
        <v>434.2105263157895</v>
      </c>
    </row>
    <row r="17" spans="1:16" ht="23.25" customHeight="1">
      <c r="A17" s="10" t="s">
        <v>14</v>
      </c>
      <c r="B17" s="73">
        <v>40</v>
      </c>
      <c r="C17" s="73">
        <v>40</v>
      </c>
      <c r="D17" s="73">
        <v>21</v>
      </c>
      <c r="E17" s="73">
        <v>30</v>
      </c>
      <c r="F17" s="73">
        <v>33.5</v>
      </c>
      <c r="G17" s="73">
        <v>12</v>
      </c>
      <c r="H17" s="73">
        <v>11</v>
      </c>
      <c r="I17" s="73">
        <v>4</v>
      </c>
      <c r="J17" s="73">
        <v>4</v>
      </c>
      <c r="K17" s="73">
        <v>7.8</v>
      </c>
      <c r="L17" s="98">
        <f t="shared" si="0"/>
        <v>300</v>
      </c>
      <c r="M17" s="98">
        <f t="shared" si="1"/>
        <v>275</v>
      </c>
      <c r="N17" s="98">
        <f t="shared" si="2"/>
        <v>190.47619047619045</v>
      </c>
      <c r="O17" s="98">
        <f t="shared" si="3"/>
        <v>133.33333333333334</v>
      </c>
      <c r="P17" s="98">
        <f t="shared" si="3"/>
        <v>232.83582089552237</v>
      </c>
    </row>
    <row r="18" spans="1:16" ht="23.25" customHeight="1">
      <c r="A18" s="10" t="s">
        <v>37</v>
      </c>
      <c r="B18" s="73">
        <v>0.35</v>
      </c>
      <c r="C18" s="73">
        <v>0</v>
      </c>
      <c r="D18" s="73">
        <v>0</v>
      </c>
      <c r="E18" s="73">
        <v>0</v>
      </c>
      <c r="F18" s="73">
        <v>0</v>
      </c>
      <c r="G18" s="73">
        <v>0.51</v>
      </c>
      <c r="H18" s="73">
        <v>0</v>
      </c>
      <c r="I18" s="73">
        <v>0</v>
      </c>
      <c r="J18" s="73">
        <v>0</v>
      </c>
      <c r="K18" s="73">
        <v>0</v>
      </c>
      <c r="L18" s="98">
        <f>G18/B18*1000</f>
        <v>1457.1428571428573</v>
      </c>
      <c r="M18" s="98">
        <v>0</v>
      </c>
      <c r="N18" s="98">
        <v>0</v>
      </c>
      <c r="O18" s="98">
        <v>0</v>
      </c>
      <c r="P18" s="98">
        <v>0</v>
      </c>
    </row>
    <row r="19" spans="1:16" ht="23.25" customHeight="1">
      <c r="A19" s="10" t="s">
        <v>38</v>
      </c>
      <c r="B19" s="73">
        <v>1.55</v>
      </c>
      <c r="C19" s="73">
        <v>2.2</v>
      </c>
      <c r="D19" s="73">
        <v>2.22</v>
      </c>
      <c r="E19" s="73">
        <v>2.234</v>
      </c>
      <c r="F19" s="73">
        <v>2.36</v>
      </c>
      <c r="G19" s="73">
        <v>0.82</v>
      </c>
      <c r="H19" s="73">
        <v>1.95</v>
      </c>
      <c r="I19" s="73">
        <v>2.07</v>
      </c>
      <c r="J19" s="73">
        <v>2.163</v>
      </c>
      <c r="K19" s="73">
        <v>2.19</v>
      </c>
      <c r="L19" s="98">
        <f aca="true" t="shared" si="4" ref="L19:L31">G19/B19*1000</f>
        <v>529.032258064516</v>
      </c>
      <c r="M19" s="98">
        <f aca="true" t="shared" si="5" ref="M19:M31">H19/C19*1000</f>
        <v>886.3636363636363</v>
      </c>
      <c r="N19" s="98">
        <f aca="true" t="shared" si="6" ref="N19:N31">I19/D19*1000</f>
        <v>932.4324324324323</v>
      </c>
      <c r="O19" s="98">
        <f aca="true" t="shared" si="7" ref="O18:P34">J19/E19*1000</f>
        <v>968.218442256043</v>
      </c>
      <c r="P19" s="98">
        <f t="shared" si="3"/>
        <v>927.9661016949153</v>
      </c>
    </row>
    <row r="20" spans="1:16" ht="23.25" customHeight="1">
      <c r="A20" s="10" t="s">
        <v>39</v>
      </c>
      <c r="B20" s="73">
        <v>0.69</v>
      </c>
      <c r="C20" s="73">
        <v>0.77</v>
      </c>
      <c r="D20" s="73">
        <v>0.78</v>
      </c>
      <c r="E20" s="73">
        <v>0.868</v>
      </c>
      <c r="F20" s="73">
        <v>0.85</v>
      </c>
      <c r="G20" s="73">
        <v>0.5</v>
      </c>
      <c r="H20" s="73">
        <v>0.57</v>
      </c>
      <c r="I20" s="73">
        <v>0.6</v>
      </c>
      <c r="J20" s="73">
        <v>0.65</v>
      </c>
      <c r="K20" s="73">
        <v>0.572</v>
      </c>
      <c r="L20" s="98">
        <f t="shared" si="4"/>
        <v>724.6376811594204</v>
      </c>
      <c r="M20" s="98">
        <f t="shared" si="5"/>
        <v>740.2597402597402</v>
      </c>
      <c r="N20" s="98">
        <f t="shared" si="6"/>
        <v>769.2307692307692</v>
      </c>
      <c r="O20" s="98">
        <f t="shared" si="7"/>
        <v>748.8479262672811</v>
      </c>
      <c r="P20" s="98">
        <f t="shared" si="7"/>
        <v>672.9411764705882</v>
      </c>
    </row>
    <row r="21" spans="1:16" ht="23.25" customHeight="1">
      <c r="A21" s="10" t="s">
        <v>15</v>
      </c>
      <c r="B21" s="73">
        <v>3.54</v>
      </c>
      <c r="C21" s="73">
        <v>3.57</v>
      </c>
      <c r="D21" s="73">
        <v>3.57</v>
      </c>
      <c r="E21" s="73">
        <v>3.58</v>
      </c>
      <c r="F21" s="73">
        <v>3.62</v>
      </c>
      <c r="G21" s="73">
        <v>2.13</v>
      </c>
      <c r="H21" s="73">
        <v>2.15</v>
      </c>
      <c r="I21" s="73">
        <v>2.15</v>
      </c>
      <c r="J21" s="73">
        <v>2.16</v>
      </c>
      <c r="K21" s="73">
        <v>2.2</v>
      </c>
      <c r="L21" s="98">
        <f t="shared" si="4"/>
        <v>601.6949152542372</v>
      </c>
      <c r="M21" s="98">
        <f t="shared" si="5"/>
        <v>602.2408963585434</v>
      </c>
      <c r="N21" s="98">
        <f t="shared" si="6"/>
        <v>602.2408963585434</v>
      </c>
      <c r="O21" s="98">
        <f t="shared" si="7"/>
        <v>603.3519553072626</v>
      </c>
      <c r="P21" s="98">
        <f t="shared" si="7"/>
        <v>607.7348066298342</v>
      </c>
    </row>
    <row r="22" spans="1:16" ht="23.25" customHeight="1">
      <c r="A22" s="10" t="s">
        <v>111</v>
      </c>
      <c r="B22" s="73">
        <v>21.72</v>
      </c>
      <c r="C22" s="73">
        <v>23.54</v>
      </c>
      <c r="D22" s="73">
        <v>25.86</v>
      </c>
      <c r="E22" s="73">
        <f>2.96+12.44+4.63</f>
        <v>20.029999999999998</v>
      </c>
      <c r="F22" s="73">
        <v>16.01</v>
      </c>
      <c r="G22" s="73">
        <v>5.32</v>
      </c>
      <c r="H22" s="73">
        <v>5.61</v>
      </c>
      <c r="I22" s="73">
        <v>6.65</v>
      </c>
      <c r="J22" s="73">
        <f>0.62+2.3+1.22</f>
        <v>4.14</v>
      </c>
      <c r="K22" s="73">
        <v>4.9</v>
      </c>
      <c r="L22" s="98">
        <f t="shared" si="4"/>
        <v>244.93554327808474</v>
      </c>
      <c r="M22" s="98">
        <f t="shared" si="5"/>
        <v>238.31775700934583</v>
      </c>
      <c r="N22" s="98">
        <f t="shared" si="6"/>
        <v>257.153905645785</v>
      </c>
      <c r="O22" s="98">
        <f t="shared" si="7"/>
        <v>206.68996505242137</v>
      </c>
      <c r="P22" s="98">
        <f t="shared" si="7"/>
        <v>306.0587133041849</v>
      </c>
    </row>
    <row r="23" spans="1:16" ht="23.25" customHeight="1">
      <c r="A23" s="2" t="s">
        <v>17</v>
      </c>
      <c r="B23" s="73">
        <v>5.1</v>
      </c>
      <c r="C23" s="73">
        <v>4.1</v>
      </c>
      <c r="D23" s="73">
        <v>4.7</v>
      </c>
      <c r="E23" s="73">
        <v>4.7</v>
      </c>
      <c r="F23" s="73">
        <v>3</v>
      </c>
      <c r="G23" s="73">
        <v>1.7</v>
      </c>
      <c r="H23" s="73">
        <v>1.4</v>
      </c>
      <c r="I23" s="73">
        <v>1.4</v>
      </c>
      <c r="J23" s="73">
        <v>1.6</v>
      </c>
      <c r="K23" s="73">
        <v>1.1</v>
      </c>
      <c r="L23" s="98">
        <f t="shared" si="4"/>
        <v>333.33333333333337</v>
      </c>
      <c r="M23" s="98">
        <f t="shared" si="5"/>
        <v>341.4634146341464</v>
      </c>
      <c r="N23" s="98">
        <f t="shared" si="6"/>
        <v>297.8723404255319</v>
      </c>
      <c r="O23" s="98">
        <f t="shared" si="7"/>
        <v>340.4255319148936</v>
      </c>
      <c r="P23" s="98">
        <f t="shared" si="7"/>
        <v>366.6666666666667</v>
      </c>
    </row>
    <row r="24" spans="1:16" ht="23.25" customHeight="1">
      <c r="A24" s="2" t="s">
        <v>18</v>
      </c>
      <c r="B24" s="73">
        <v>415.16</v>
      </c>
      <c r="C24" s="73">
        <v>360.61</v>
      </c>
      <c r="D24" s="73">
        <v>329.91</v>
      </c>
      <c r="E24" s="73">
        <v>366.736</v>
      </c>
      <c r="F24" s="73">
        <v>266.919</v>
      </c>
      <c r="G24" s="73">
        <v>122.07</v>
      </c>
      <c r="H24" s="73">
        <v>72.05</v>
      </c>
      <c r="I24" s="73">
        <v>112.48</v>
      </c>
      <c r="J24" s="73">
        <v>115.31</v>
      </c>
      <c r="K24" s="73">
        <v>92.738</v>
      </c>
      <c r="L24" s="98">
        <f t="shared" si="4"/>
        <v>294.0312168802389</v>
      </c>
      <c r="M24" s="98">
        <f t="shared" si="5"/>
        <v>199.80033831563182</v>
      </c>
      <c r="N24" s="98">
        <f t="shared" si="6"/>
        <v>340.94146888545356</v>
      </c>
      <c r="O24" s="98">
        <f t="shared" si="7"/>
        <v>314.4223637712142</v>
      </c>
      <c r="P24" s="98">
        <f t="shared" si="7"/>
        <v>347.4387360959692</v>
      </c>
    </row>
    <row r="25" spans="1:16" ht="23.25" customHeight="1">
      <c r="A25" s="2" t="s">
        <v>19</v>
      </c>
      <c r="B25" s="73">
        <v>33.17</v>
      </c>
      <c r="C25" s="73">
        <v>56.59</v>
      </c>
      <c r="D25" s="73">
        <v>64.24</v>
      </c>
      <c r="E25" s="73">
        <f>18.55+27.75</f>
        <v>46.3</v>
      </c>
      <c r="F25" s="73">
        <v>28.23</v>
      </c>
      <c r="G25" s="73">
        <v>17.18</v>
      </c>
      <c r="H25" s="73">
        <v>33.71</v>
      </c>
      <c r="I25" s="73">
        <v>44.75</v>
      </c>
      <c r="J25" s="73">
        <f>12.39+16.97</f>
        <v>29.36</v>
      </c>
      <c r="K25" s="73">
        <v>10.84</v>
      </c>
      <c r="L25" s="98">
        <f t="shared" si="4"/>
        <v>517.9378956888755</v>
      </c>
      <c r="M25" s="98">
        <f t="shared" si="5"/>
        <v>595.688284149143</v>
      </c>
      <c r="N25" s="98">
        <f t="shared" si="6"/>
        <v>696.6064757160648</v>
      </c>
      <c r="O25" s="98">
        <f t="shared" si="7"/>
        <v>634.1252699784018</v>
      </c>
      <c r="P25" s="98">
        <f t="shared" si="7"/>
        <v>383.9886645412681</v>
      </c>
    </row>
    <row r="26" spans="1:16" ht="23.25" customHeight="1">
      <c r="A26" s="2" t="s">
        <v>116</v>
      </c>
      <c r="B26" s="73">
        <v>23</v>
      </c>
      <c r="C26" s="73">
        <v>39.23</v>
      </c>
      <c r="D26" s="73">
        <v>24</v>
      </c>
      <c r="E26" s="73">
        <v>14</v>
      </c>
      <c r="F26" s="73">
        <v>21</v>
      </c>
      <c r="G26" s="73">
        <v>8.59</v>
      </c>
      <c r="H26" s="73">
        <v>12.08</v>
      </c>
      <c r="I26" s="73">
        <v>10</v>
      </c>
      <c r="J26" s="73">
        <v>3</v>
      </c>
      <c r="K26" s="73">
        <v>15</v>
      </c>
      <c r="L26" s="98">
        <f t="shared" si="4"/>
        <v>373.4782608695652</v>
      </c>
      <c r="M26" s="98">
        <f t="shared" si="5"/>
        <v>307.9276064236554</v>
      </c>
      <c r="N26" s="98">
        <f t="shared" si="6"/>
        <v>416.6666666666667</v>
      </c>
      <c r="O26" s="98">
        <f t="shared" si="7"/>
        <v>214.28571428571428</v>
      </c>
      <c r="P26" s="98">
        <f t="shared" si="7"/>
        <v>714.2857142857143</v>
      </c>
    </row>
    <row r="27" spans="1:16" ht="23.25" customHeight="1">
      <c r="A27" s="2" t="s">
        <v>40</v>
      </c>
      <c r="B27" s="73">
        <v>2.085</v>
      </c>
      <c r="C27" s="73">
        <v>2.82</v>
      </c>
      <c r="D27" s="73">
        <v>2.47</v>
      </c>
      <c r="E27" s="73">
        <v>3.898</v>
      </c>
      <c r="F27" s="73">
        <v>5.59</v>
      </c>
      <c r="G27" s="73">
        <v>0</v>
      </c>
      <c r="H27" s="73">
        <v>1.71</v>
      </c>
      <c r="I27" s="73">
        <v>1.54</v>
      </c>
      <c r="J27" s="73">
        <v>2.261</v>
      </c>
      <c r="K27" s="73">
        <v>3.276</v>
      </c>
      <c r="L27" s="98">
        <f t="shared" si="4"/>
        <v>0</v>
      </c>
      <c r="M27" s="98">
        <f t="shared" si="5"/>
        <v>606.3829787234043</v>
      </c>
      <c r="N27" s="98">
        <f t="shared" si="6"/>
        <v>623.4817813765183</v>
      </c>
      <c r="O27" s="98">
        <f t="shared" si="7"/>
        <v>580.0410466906106</v>
      </c>
      <c r="P27" s="98">
        <f t="shared" si="7"/>
        <v>586.046511627907</v>
      </c>
    </row>
    <row r="28" spans="1:16" ht="23.25" customHeight="1">
      <c r="A28" s="10" t="s">
        <v>22</v>
      </c>
      <c r="B28" s="73">
        <v>344</v>
      </c>
      <c r="C28" s="73">
        <v>293</v>
      </c>
      <c r="D28" s="73">
        <v>323</v>
      </c>
      <c r="E28" s="73">
        <v>546</v>
      </c>
      <c r="F28" s="73">
        <v>370.2</v>
      </c>
      <c r="G28" s="73">
        <v>64</v>
      </c>
      <c r="H28" s="73">
        <v>43</v>
      </c>
      <c r="I28" s="73">
        <v>64</v>
      </c>
      <c r="J28" s="73">
        <v>166</v>
      </c>
      <c r="K28" s="73">
        <v>79.2228</v>
      </c>
      <c r="L28" s="98">
        <f t="shared" si="4"/>
        <v>186.04651162790697</v>
      </c>
      <c r="M28" s="98">
        <f t="shared" si="5"/>
        <v>146.75767918088735</v>
      </c>
      <c r="N28" s="98">
        <f t="shared" si="6"/>
        <v>198.14241486068113</v>
      </c>
      <c r="O28" s="98">
        <f t="shared" si="7"/>
        <v>304.029304029304</v>
      </c>
      <c r="P28" s="98">
        <f t="shared" si="7"/>
        <v>214.00000000000003</v>
      </c>
    </row>
    <row r="29" spans="1:16" ht="23.25" customHeight="1">
      <c r="A29" s="2" t="s">
        <v>86</v>
      </c>
      <c r="B29" s="73">
        <v>2.06</v>
      </c>
      <c r="C29" s="73">
        <v>2.01</v>
      </c>
      <c r="D29" s="73">
        <v>1.63</v>
      </c>
      <c r="E29" s="73">
        <v>1.77</v>
      </c>
      <c r="F29" s="73">
        <v>2</v>
      </c>
      <c r="G29" s="73">
        <v>0.56</v>
      </c>
      <c r="H29" s="73">
        <v>0.54</v>
      </c>
      <c r="I29" s="73">
        <v>0.44</v>
      </c>
      <c r="J29" s="73">
        <v>0.48</v>
      </c>
      <c r="K29" s="73">
        <v>1</v>
      </c>
      <c r="L29" s="98">
        <f t="shared" si="4"/>
        <v>271.8446601941748</v>
      </c>
      <c r="M29" s="98">
        <f t="shared" si="5"/>
        <v>268.6567164179105</v>
      </c>
      <c r="N29" s="98">
        <f t="shared" si="6"/>
        <v>269.93865030674846</v>
      </c>
      <c r="O29" s="98">
        <f t="shared" si="7"/>
        <v>271.1864406779661</v>
      </c>
      <c r="P29" s="98">
        <f t="shared" si="7"/>
        <v>500</v>
      </c>
    </row>
    <row r="30" spans="1:16" ht="23.25" customHeight="1">
      <c r="A30" s="2" t="s">
        <v>74</v>
      </c>
      <c r="B30" s="73">
        <v>196.64</v>
      </c>
      <c r="C30" s="73">
        <v>213.233</v>
      </c>
      <c r="D30" s="73">
        <v>224.48</v>
      </c>
      <c r="E30" s="73">
        <f>2.5+224.865</f>
        <v>227.365</v>
      </c>
      <c r="F30" s="73">
        <v>232.713</v>
      </c>
      <c r="G30" s="73">
        <v>185.15</v>
      </c>
      <c r="H30" s="73">
        <v>205.02</v>
      </c>
      <c r="I30" s="73">
        <v>213.64</v>
      </c>
      <c r="J30" s="73">
        <v>214</v>
      </c>
      <c r="K30" s="73">
        <v>217.136</v>
      </c>
      <c r="L30" s="98">
        <f t="shared" si="4"/>
        <v>941.5683482506103</v>
      </c>
      <c r="M30" s="98">
        <f t="shared" si="5"/>
        <v>961.4834476839889</v>
      </c>
      <c r="N30" s="98">
        <f t="shared" si="6"/>
        <v>951.7106200997862</v>
      </c>
      <c r="O30" s="98">
        <f t="shared" si="7"/>
        <v>941.2178655465881</v>
      </c>
      <c r="P30" s="98">
        <f t="shared" si="7"/>
        <v>933.0634730333072</v>
      </c>
    </row>
    <row r="31" spans="1:16" ht="23.25" customHeight="1">
      <c r="A31" s="2" t="s">
        <v>114</v>
      </c>
      <c r="B31" s="73">
        <v>0</v>
      </c>
      <c r="C31" s="73">
        <v>0.03</v>
      </c>
      <c r="D31" s="73">
        <v>0.002</v>
      </c>
      <c r="E31" s="73">
        <v>0.035</v>
      </c>
      <c r="F31" s="73">
        <v>0.004</v>
      </c>
      <c r="G31" s="73">
        <v>0</v>
      </c>
      <c r="H31" s="73">
        <v>0.006</v>
      </c>
      <c r="I31" s="73">
        <v>0.01</v>
      </c>
      <c r="J31" s="73">
        <v>0.0067</v>
      </c>
      <c r="K31" s="73">
        <v>0.00105</v>
      </c>
      <c r="L31" s="98">
        <v>0</v>
      </c>
      <c r="M31" s="98">
        <f t="shared" si="5"/>
        <v>200</v>
      </c>
      <c r="N31" s="98">
        <f t="shared" si="6"/>
        <v>5000</v>
      </c>
      <c r="O31" s="98">
        <f t="shared" si="7"/>
        <v>191.42857142857142</v>
      </c>
      <c r="P31" s="98">
        <f t="shared" si="7"/>
        <v>262.49999999999994</v>
      </c>
    </row>
    <row r="32" spans="1:16" ht="23.25" customHeight="1">
      <c r="A32" s="24" t="s">
        <v>54</v>
      </c>
      <c r="B32" s="73">
        <v>0.139</v>
      </c>
      <c r="C32" s="73">
        <v>0.04</v>
      </c>
      <c r="D32" s="73">
        <v>0</v>
      </c>
      <c r="E32" s="73">
        <v>0</v>
      </c>
      <c r="F32" s="73">
        <v>0.006</v>
      </c>
      <c r="G32" s="73">
        <v>0.084</v>
      </c>
      <c r="H32" s="73">
        <v>0.04</v>
      </c>
      <c r="I32" s="73">
        <v>0</v>
      </c>
      <c r="J32" s="73">
        <v>0</v>
      </c>
      <c r="K32" s="73">
        <v>0.0015</v>
      </c>
      <c r="L32" s="98">
        <f aca="true" t="shared" si="8" ref="L32:M34">G32/B32*1000</f>
        <v>604.31654676259</v>
      </c>
      <c r="M32" s="98">
        <f t="shared" si="8"/>
        <v>1000</v>
      </c>
      <c r="N32" s="98">
        <v>0</v>
      </c>
      <c r="O32" s="98">
        <v>0</v>
      </c>
      <c r="P32" s="98">
        <f t="shared" si="7"/>
        <v>250</v>
      </c>
    </row>
    <row r="33" spans="1:16" ht="23.25" customHeight="1">
      <c r="A33" s="2" t="s">
        <v>127</v>
      </c>
      <c r="B33" s="73">
        <v>0.114</v>
      </c>
      <c r="C33" s="73">
        <v>0.19</v>
      </c>
      <c r="D33" s="73">
        <v>0.14</v>
      </c>
      <c r="E33" s="73">
        <v>0.121</v>
      </c>
      <c r="F33" s="73">
        <v>0.076</v>
      </c>
      <c r="G33" s="73">
        <v>0.12</v>
      </c>
      <c r="H33" s="73">
        <v>0.16</v>
      </c>
      <c r="I33" s="73">
        <v>0.11</v>
      </c>
      <c r="J33" s="73">
        <v>0.092</v>
      </c>
      <c r="K33" s="73">
        <v>0.075</v>
      </c>
      <c r="L33" s="98">
        <f t="shared" si="8"/>
        <v>1052.6315789473683</v>
      </c>
      <c r="M33" s="98">
        <f t="shared" si="8"/>
        <v>842.1052631578947</v>
      </c>
      <c r="N33" s="98">
        <f>I33/D33*1000</f>
        <v>785.7142857142857</v>
      </c>
      <c r="O33" s="98">
        <f t="shared" si="7"/>
        <v>760.3305785123968</v>
      </c>
      <c r="P33" s="98">
        <f t="shared" si="7"/>
        <v>986.8421052631578</v>
      </c>
    </row>
    <row r="34" spans="1:16" s="25" customFormat="1" ht="23.25" customHeight="1">
      <c r="A34" s="63" t="s">
        <v>24</v>
      </c>
      <c r="B34" s="129">
        <f aca="true" t="shared" si="9" ref="B34:K34">SUM(B4:B33)</f>
        <v>1705.7570000000003</v>
      </c>
      <c r="C34" s="129">
        <f t="shared" si="9"/>
        <v>1678.903</v>
      </c>
      <c r="D34" s="129">
        <f t="shared" si="9"/>
        <v>1746.0620000000004</v>
      </c>
      <c r="E34" s="129">
        <f t="shared" si="9"/>
        <v>1950.88</v>
      </c>
      <c r="F34" s="129">
        <f t="shared" si="9"/>
        <v>1666.926</v>
      </c>
      <c r="G34" s="129">
        <f t="shared" si="9"/>
        <v>685.0239999999999</v>
      </c>
      <c r="H34" s="129">
        <f t="shared" si="9"/>
        <v>714.5824999999999</v>
      </c>
      <c r="I34" s="129">
        <f t="shared" si="9"/>
        <v>827.8299999999999</v>
      </c>
      <c r="J34" s="129">
        <f t="shared" si="9"/>
        <v>850.0652000000001</v>
      </c>
      <c r="K34" s="129">
        <f t="shared" si="9"/>
        <v>747.0303499999999</v>
      </c>
      <c r="L34" s="144">
        <f t="shared" si="8"/>
        <v>401.59530343419357</v>
      </c>
      <c r="M34" s="144">
        <f t="shared" si="8"/>
        <v>425.62464895232176</v>
      </c>
      <c r="N34" s="144">
        <f>I34/D34*1000</f>
        <v>474.1126031034406</v>
      </c>
      <c r="O34" s="144">
        <f t="shared" si="7"/>
        <v>435.73423275649964</v>
      </c>
      <c r="P34" s="144">
        <f t="shared" si="7"/>
        <v>448.1484780968081</v>
      </c>
    </row>
    <row r="35" spans="1:11" ht="15">
      <c r="A35" s="58"/>
      <c r="B35" s="16"/>
      <c r="C35" s="16"/>
      <c r="D35" s="16"/>
      <c r="E35" s="57"/>
      <c r="F35" s="57"/>
      <c r="G35" s="16"/>
      <c r="H35" s="16"/>
      <c r="I35" s="16"/>
      <c r="J35" s="16"/>
      <c r="K35" s="16"/>
    </row>
    <row r="36" spans="2:11" ht="15">
      <c r="B36" s="16"/>
      <c r="C36" s="16"/>
      <c r="D36" s="16"/>
      <c r="E36" s="57"/>
      <c r="F36" s="57"/>
      <c r="G36" s="16"/>
      <c r="H36" s="16"/>
      <c r="I36" s="16"/>
      <c r="J36" s="16"/>
      <c r="K36" s="16"/>
    </row>
    <row r="37" spans="2:11" ht="15">
      <c r="B37" s="16"/>
      <c r="C37" s="16"/>
      <c r="D37" s="16"/>
      <c r="E37" s="57"/>
      <c r="F37" s="57"/>
      <c r="G37" s="16"/>
      <c r="H37" s="16"/>
      <c r="I37" s="16"/>
      <c r="J37" s="16"/>
      <c r="K37" s="16"/>
    </row>
    <row r="38" spans="2:11" ht="15"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2:11" ht="15"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2:11" ht="15">
      <c r="B40" s="16"/>
      <c r="C40" s="16"/>
      <c r="D40" s="16"/>
      <c r="E40" s="57"/>
      <c r="F40" s="57"/>
      <c r="G40" s="16"/>
      <c r="H40" s="16"/>
      <c r="I40" s="16"/>
      <c r="J40" s="16"/>
      <c r="K40" s="16"/>
    </row>
    <row r="41" spans="2:11" ht="15">
      <c r="B41" s="16"/>
      <c r="C41" s="16"/>
      <c r="D41" s="16"/>
      <c r="E41" s="57"/>
      <c r="F41" s="57"/>
      <c r="G41" s="16"/>
      <c r="H41" s="16"/>
      <c r="I41" s="16"/>
      <c r="J41" s="16"/>
      <c r="K41" s="16"/>
    </row>
    <row r="42" spans="2:11" ht="15">
      <c r="B42" s="16"/>
      <c r="C42" s="16"/>
      <c r="D42" s="16"/>
      <c r="E42" s="57"/>
      <c r="F42" s="57"/>
      <c r="G42" s="16"/>
      <c r="H42" s="16"/>
      <c r="I42" s="16"/>
      <c r="J42" s="16"/>
      <c r="K42" s="16"/>
    </row>
    <row r="43" spans="2:11" ht="15">
      <c r="B43" s="16"/>
      <c r="C43" s="16"/>
      <c r="D43" s="16"/>
      <c r="E43" s="57"/>
      <c r="F43" s="57"/>
      <c r="G43" s="16"/>
      <c r="H43" s="16"/>
      <c r="I43" s="16"/>
      <c r="J43" s="16"/>
      <c r="K43" s="16"/>
    </row>
    <row r="44" spans="2:11" ht="15">
      <c r="B44" s="16"/>
      <c r="C44" s="16"/>
      <c r="D44" s="16"/>
      <c r="E44" s="57"/>
      <c r="F44" s="57"/>
      <c r="G44" s="16"/>
      <c r="H44" s="16"/>
      <c r="I44" s="16"/>
      <c r="J44" s="16"/>
      <c r="K44" s="16"/>
    </row>
    <row r="45" spans="2:11" ht="15">
      <c r="B45" s="17"/>
      <c r="C45" s="17"/>
      <c r="D45" s="17"/>
      <c r="E45" s="4"/>
      <c r="F45" s="4"/>
      <c r="G45" s="17"/>
      <c r="H45" s="17"/>
      <c r="I45" s="17"/>
      <c r="J45" s="17"/>
      <c r="K45" s="17"/>
    </row>
  </sheetData>
  <sheetProtection/>
  <mergeCells count="5">
    <mergeCell ref="B2:F2"/>
    <mergeCell ref="A2:A3"/>
    <mergeCell ref="L2:P2"/>
    <mergeCell ref="G2:K2"/>
    <mergeCell ref="A1:P1"/>
  </mergeCells>
  <printOptions horizontalCentered="1"/>
  <pageMargins left="0.511811023622047" right="0.511811023622047" top="0.236220472440945" bottom="0" header="0.511811023622047" footer="0.511811023622047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39"/>
  <sheetViews>
    <sheetView view="pageBreakPreview" zoomScale="70" zoomScaleNormal="60" zoomScaleSheetLayoutView="70" zoomScalePageLayoutView="0" workbookViewId="0" topLeftCell="A1">
      <pane xSplit="1" ySplit="3" topLeftCell="B19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O34" sqref="O34"/>
    </sheetView>
  </sheetViews>
  <sheetFormatPr defaultColWidth="9.140625" defaultRowHeight="12.75"/>
  <cols>
    <col min="1" max="1" width="22.57421875" style="3" customWidth="1"/>
    <col min="2" max="3" width="10.140625" style="3" customWidth="1"/>
    <col min="4" max="4" width="11.140625" style="3" customWidth="1"/>
    <col min="5" max="6" width="11.140625" style="61" customWidth="1"/>
    <col min="7" max="8" width="10.140625" style="3" customWidth="1"/>
    <col min="9" max="9" width="10.57421875" style="3" customWidth="1"/>
    <col min="10" max="10" width="12.00390625" style="3" bestFit="1" customWidth="1"/>
    <col min="11" max="11" width="12.00390625" style="3" customWidth="1"/>
    <col min="12" max="12" width="10.57421875" style="3" customWidth="1"/>
    <col min="13" max="13" width="10.57421875" style="3" bestFit="1" customWidth="1"/>
    <col min="14" max="16" width="10.8515625" style="3" customWidth="1"/>
    <col min="17" max="16384" width="9.140625" style="3" customWidth="1"/>
  </cols>
  <sheetData>
    <row r="1" spans="1:16" ht="25.5" customHeight="1">
      <c r="A1" s="202" t="s">
        <v>131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9.25" customHeight="1">
      <c r="A2" s="203" t="s">
        <v>0</v>
      </c>
      <c r="B2" s="185" t="s">
        <v>81</v>
      </c>
      <c r="C2" s="186"/>
      <c r="D2" s="186"/>
      <c r="E2" s="186"/>
      <c r="F2" s="187"/>
      <c r="G2" s="185" t="s">
        <v>82</v>
      </c>
      <c r="H2" s="186"/>
      <c r="I2" s="186"/>
      <c r="J2" s="186"/>
      <c r="K2" s="187"/>
      <c r="L2" s="184" t="s">
        <v>79</v>
      </c>
      <c r="M2" s="184"/>
      <c r="N2" s="184"/>
      <c r="O2" s="184"/>
      <c r="P2" s="184"/>
    </row>
    <row r="3" spans="1:16" s="15" customFormat="1" ht="21.75" customHeight="1">
      <c r="A3" s="203"/>
      <c r="B3" s="133" t="s">
        <v>112</v>
      </c>
      <c r="C3" s="133" t="s">
        <v>113</v>
      </c>
      <c r="D3" s="133" t="s">
        <v>115</v>
      </c>
      <c r="E3" s="133" t="s">
        <v>121</v>
      </c>
      <c r="F3" s="133" t="s">
        <v>122</v>
      </c>
      <c r="G3" s="133" t="s">
        <v>112</v>
      </c>
      <c r="H3" s="133" t="s">
        <v>113</v>
      </c>
      <c r="I3" s="133" t="s">
        <v>115</v>
      </c>
      <c r="J3" s="133" t="s">
        <v>121</v>
      </c>
      <c r="K3" s="133" t="s">
        <v>122</v>
      </c>
      <c r="L3" s="133" t="s">
        <v>112</v>
      </c>
      <c r="M3" s="133" t="s">
        <v>113</v>
      </c>
      <c r="N3" s="133" t="s">
        <v>115</v>
      </c>
      <c r="O3" s="133" t="s">
        <v>121</v>
      </c>
      <c r="P3" s="133" t="s">
        <v>122</v>
      </c>
    </row>
    <row r="4" spans="1:16" ht="21.75" customHeight="1">
      <c r="A4" s="2" t="s">
        <v>1</v>
      </c>
      <c r="B4" s="74">
        <v>4</v>
      </c>
      <c r="C4" s="74">
        <v>5</v>
      </c>
      <c r="D4" s="74">
        <v>6</v>
      </c>
      <c r="E4" s="74">
        <v>1</v>
      </c>
      <c r="F4" s="74">
        <v>5</v>
      </c>
      <c r="G4" s="82">
        <v>2</v>
      </c>
      <c r="H4" s="82">
        <v>3</v>
      </c>
      <c r="I4" s="82">
        <v>3</v>
      </c>
      <c r="J4" s="74">
        <v>1</v>
      </c>
      <c r="K4" s="74">
        <v>2</v>
      </c>
      <c r="L4" s="94">
        <f aca="true" t="shared" si="0" ref="L4:L32">G4/B4*1000</f>
        <v>500</v>
      </c>
      <c r="M4" s="94">
        <f aca="true" t="shared" si="1" ref="M4:M31">H4/C4*1000</f>
        <v>600</v>
      </c>
      <c r="N4" s="94">
        <f aca="true" t="shared" si="2" ref="N4:N31">I4/D4*1000</f>
        <v>500</v>
      </c>
      <c r="O4" s="94">
        <f aca="true" t="shared" si="3" ref="O4:P31">J4/E4*1000</f>
        <v>1000</v>
      </c>
      <c r="P4" s="94">
        <f t="shared" si="3"/>
        <v>400</v>
      </c>
    </row>
    <row r="5" spans="1:16" ht="21.75" customHeight="1">
      <c r="A5" s="2" t="s">
        <v>33</v>
      </c>
      <c r="B5" s="74">
        <v>26.653</v>
      </c>
      <c r="C5" s="74">
        <v>27.61</v>
      </c>
      <c r="D5" s="74">
        <v>29.23</v>
      </c>
      <c r="E5" s="74">
        <v>29.229</v>
      </c>
      <c r="F5" s="74">
        <v>27.986</v>
      </c>
      <c r="G5" s="82">
        <v>24.115</v>
      </c>
      <c r="H5" s="82">
        <v>25.85</v>
      </c>
      <c r="I5" s="82">
        <v>29.7</v>
      </c>
      <c r="J5" s="74">
        <v>31.843</v>
      </c>
      <c r="K5" s="74">
        <v>28.514</v>
      </c>
      <c r="L5" s="94">
        <f t="shared" si="0"/>
        <v>904.7761978013732</v>
      </c>
      <c r="M5" s="94">
        <f t="shared" si="1"/>
        <v>936.2549800796813</v>
      </c>
      <c r="N5" s="94">
        <f t="shared" si="2"/>
        <v>1016.0793705097502</v>
      </c>
      <c r="O5" s="94">
        <f t="shared" si="3"/>
        <v>1089.4317287625304</v>
      </c>
      <c r="P5" s="94">
        <f t="shared" si="3"/>
        <v>1018.8665761452154</v>
      </c>
    </row>
    <row r="6" spans="1:16" ht="21.75" customHeight="1">
      <c r="A6" s="2" t="s">
        <v>29</v>
      </c>
      <c r="B6" s="74">
        <v>279.5</v>
      </c>
      <c r="C6" s="74">
        <v>279.19</v>
      </c>
      <c r="D6" s="74">
        <v>281.01</v>
      </c>
      <c r="E6" s="74">
        <v>285.677</v>
      </c>
      <c r="F6" s="74">
        <v>294.018</v>
      </c>
      <c r="G6" s="82">
        <v>170.38</v>
      </c>
      <c r="H6" s="82">
        <v>168.98</v>
      </c>
      <c r="I6" s="82">
        <v>187.52</v>
      </c>
      <c r="J6" s="74">
        <v>199.501</v>
      </c>
      <c r="K6" s="74">
        <v>189.233</v>
      </c>
      <c r="L6" s="94">
        <f t="shared" si="0"/>
        <v>609.5885509838998</v>
      </c>
      <c r="M6" s="94">
        <f t="shared" si="1"/>
        <v>605.2509044020201</v>
      </c>
      <c r="N6" s="94">
        <f t="shared" si="2"/>
        <v>667.3072132664319</v>
      </c>
      <c r="O6" s="94">
        <f t="shared" si="3"/>
        <v>698.3446339747337</v>
      </c>
      <c r="P6" s="94">
        <f t="shared" si="3"/>
        <v>643.6102551544463</v>
      </c>
    </row>
    <row r="7" spans="1:16" ht="21.75" customHeight="1">
      <c r="A7" s="2" t="s">
        <v>41</v>
      </c>
      <c r="B7" s="74">
        <v>86.82</v>
      </c>
      <c r="C7" s="74">
        <v>85.25</v>
      </c>
      <c r="D7" s="74">
        <v>84.45</v>
      </c>
      <c r="E7" s="74">
        <v>89.657</v>
      </c>
      <c r="F7" s="74">
        <v>82.77</v>
      </c>
      <c r="G7" s="82">
        <v>98.2576</v>
      </c>
      <c r="H7" s="82">
        <v>106.13625</v>
      </c>
      <c r="I7" s="82">
        <v>92.89</v>
      </c>
      <c r="J7" s="74">
        <v>94.392</v>
      </c>
      <c r="K7" s="74">
        <v>97.684</v>
      </c>
      <c r="L7" s="94">
        <f t="shared" si="0"/>
        <v>1131.7392305920296</v>
      </c>
      <c r="M7" s="94">
        <f t="shared" si="1"/>
        <v>1245</v>
      </c>
      <c r="N7" s="94">
        <f t="shared" si="2"/>
        <v>1099.9407933688572</v>
      </c>
      <c r="O7" s="94">
        <f t="shared" si="3"/>
        <v>1052.8123849783062</v>
      </c>
      <c r="P7" s="94">
        <f t="shared" si="3"/>
        <v>1180.1860577503926</v>
      </c>
    </row>
    <row r="8" spans="1:16" ht="21.75" customHeight="1">
      <c r="A8" s="18" t="s">
        <v>6</v>
      </c>
      <c r="B8" s="83">
        <v>50.2</v>
      </c>
      <c r="C8" s="83">
        <v>47</v>
      </c>
      <c r="D8" s="83">
        <v>45.9</v>
      </c>
      <c r="E8" s="74">
        <v>43.1</v>
      </c>
      <c r="F8" s="74">
        <v>51</v>
      </c>
      <c r="G8" s="82">
        <v>25.8</v>
      </c>
      <c r="H8" s="82">
        <v>26.2</v>
      </c>
      <c r="I8" s="82">
        <v>26.4</v>
      </c>
      <c r="J8" s="74">
        <v>22.3</v>
      </c>
      <c r="K8" s="74">
        <v>19.8</v>
      </c>
      <c r="L8" s="94">
        <f t="shared" si="0"/>
        <v>513.9442231075697</v>
      </c>
      <c r="M8" s="94">
        <f t="shared" si="1"/>
        <v>557.4468085106383</v>
      </c>
      <c r="N8" s="94">
        <f t="shared" si="2"/>
        <v>575.1633986928105</v>
      </c>
      <c r="O8" s="94">
        <f t="shared" si="3"/>
        <v>517.401392111369</v>
      </c>
      <c r="P8" s="94">
        <f t="shared" si="3"/>
        <v>388.2352941176471</v>
      </c>
    </row>
    <row r="9" spans="1:16" ht="21.75" customHeight="1">
      <c r="A9" s="2" t="s">
        <v>8</v>
      </c>
      <c r="B9" s="74">
        <v>213</v>
      </c>
      <c r="C9" s="74">
        <v>282</v>
      </c>
      <c r="D9" s="74">
        <v>185</v>
      </c>
      <c r="E9" s="74">
        <v>190</v>
      </c>
      <c r="F9" s="74">
        <v>201</v>
      </c>
      <c r="G9" s="82">
        <v>361</v>
      </c>
      <c r="H9" s="82">
        <v>486</v>
      </c>
      <c r="I9" s="82">
        <v>263</v>
      </c>
      <c r="J9" s="74">
        <v>306</v>
      </c>
      <c r="K9" s="74">
        <v>344</v>
      </c>
      <c r="L9" s="94">
        <f t="shared" si="0"/>
        <v>1694.8356807511736</v>
      </c>
      <c r="M9" s="94">
        <f t="shared" si="1"/>
        <v>1723.404255319149</v>
      </c>
      <c r="N9" s="94">
        <f t="shared" si="2"/>
        <v>1421.6216216216214</v>
      </c>
      <c r="O9" s="94">
        <f t="shared" si="3"/>
        <v>1610.5263157894735</v>
      </c>
      <c r="P9" s="94">
        <f t="shared" si="3"/>
        <v>1711.4427860696517</v>
      </c>
    </row>
    <row r="10" spans="1:16" ht="21.75" customHeight="1">
      <c r="A10" s="2" t="s">
        <v>35</v>
      </c>
      <c r="B10" s="74">
        <v>559</v>
      </c>
      <c r="C10" s="74">
        <v>537</v>
      </c>
      <c r="D10" s="74">
        <v>493</v>
      </c>
      <c r="E10" s="74">
        <v>505</v>
      </c>
      <c r="F10" s="74">
        <v>510</v>
      </c>
      <c r="G10" s="82">
        <v>962</v>
      </c>
      <c r="H10" s="82">
        <v>880</v>
      </c>
      <c r="I10" s="82">
        <v>706</v>
      </c>
      <c r="J10" s="74">
        <v>805</v>
      </c>
      <c r="K10" s="74">
        <v>945</v>
      </c>
      <c r="L10" s="94">
        <f t="shared" si="0"/>
        <v>1720.9302325581396</v>
      </c>
      <c r="M10" s="94">
        <f t="shared" si="1"/>
        <v>1638.733705772812</v>
      </c>
      <c r="N10" s="94">
        <f t="shared" si="2"/>
        <v>1432.048681541582</v>
      </c>
      <c r="O10" s="94">
        <f t="shared" si="3"/>
        <v>1594.0594059405942</v>
      </c>
      <c r="P10" s="94">
        <f t="shared" si="3"/>
        <v>1852.9411764705883</v>
      </c>
    </row>
    <row r="11" spans="1:16" ht="21.75" customHeight="1">
      <c r="A11" s="2" t="s">
        <v>10</v>
      </c>
      <c r="B11" s="74">
        <v>9.03</v>
      </c>
      <c r="C11" s="74">
        <v>8.84</v>
      </c>
      <c r="D11" s="74">
        <v>8.77</v>
      </c>
      <c r="E11" s="74">
        <v>8.593</v>
      </c>
      <c r="F11" s="74">
        <v>8.772</v>
      </c>
      <c r="G11" s="82">
        <v>4.7</v>
      </c>
      <c r="H11" s="82">
        <v>4.27</v>
      </c>
      <c r="I11" s="82">
        <v>4.76</v>
      </c>
      <c r="J11" s="74">
        <v>4.44</v>
      </c>
      <c r="K11" s="74">
        <v>4.438</v>
      </c>
      <c r="L11" s="94">
        <f t="shared" si="0"/>
        <v>520.4872646733112</v>
      </c>
      <c r="M11" s="94">
        <f t="shared" si="1"/>
        <v>483.03167420814475</v>
      </c>
      <c r="N11" s="94">
        <f t="shared" si="2"/>
        <v>542.7594070695553</v>
      </c>
      <c r="O11" s="94">
        <f t="shared" si="3"/>
        <v>516.699639241243</v>
      </c>
      <c r="P11" s="94">
        <f t="shared" si="3"/>
        <v>505.92795257637937</v>
      </c>
    </row>
    <row r="12" spans="1:16" ht="21.75" customHeight="1">
      <c r="A12" s="2" t="s">
        <v>42</v>
      </c>
      <c r="B12" s="74">
        <v>59.86</v>
      </c>
      <c r="C12" s="74">
        <v>60.34</v>
      </c>
      <c r="D12" s="74">
        <v>55.26</v>
      </c>
      <c r="E12" s="74">
        <v>50.515</v>
      </c>
      <c r="F12" s="74">
        <v>47.611</v>
      </c>
      <c r="G12" s="82">
        <v>48.93</v>
      </c>
      <c r="H12" s="82">
        <v>56.43</v>
      </c>
      <c r="I12" s="82">
        <v>38.7</v>
      </c>
      <c r="J12" s="74">
        <v>30.9359</v>
      </c>
      <c r="K12" s="74">
        <v>25.023</v>
      </c>
      <c r="L12" s="94">
        <f t="shared" si="0"/>
        <v>817.4072836618777</v>
      </c>
      <c r="M12" s="94">
        <f t="shared" si="1"/>
        <v>935.2005303281404</v>
      </c>
      <c r="N12" s="94">
        <f t="shared" si="2"/>
        <v>700.3257328990229</v>
      </c>
      <c r="O12" s="94">
        <f t="shared" si="3"/>
        <v>612.4101751954864</v>
      </c>
      <c r="P12" s="94">
        <f t="shared" si="3"/>
        <v>525.5718216378568</v>
      </c>
    </row>
    <row r="13" spans="1:16" ht="21.75" customHeight="1">
      <c r="A13" s="2" t="s">
        <v>51</v>
      </c>
      <c r="B13" s="74">
        <v>185.99</v>
      </c>
      <c r="C13" s="74">
        <v>216.634</v>
      </c>
      <c r="D13" s="74">
        <v>201.4</v>
      </c>
      <c r="E13" s="74">
        <v>194.226</v>
      </c>
      <c r="F13" s="74">
        <v>273.348</v>
      </c>
      <c r="G13" s="82">
        <v>145.69</v>
      </c>
      <c r="H13" s="82">
        <v>136.3</v>
      </c>
      <c r="I13" s="82">
        <v>125.96</v>
      </c>
      <c r="J13" s="74">
        <v>135.666</v>
      </c>
      <c r="K13" s="74">
        <v>198.957</v>
      </c>
      <c r="L13" s="94">
        <f t="shared" si="0"/>
        <v>783.3216839615033</v>
      </c>
      <c r="M13" s="94">
        <f t="shared" si="1"/>
        <v>629.171782822641</v>
      </c>
      <c r="N13" s="94">
        <f t="shared" si="2"/>
        <v>625.4220456802383</v>
      </c>
      <c r="O13" s="94">
        <f t="shared" si="3"/>
        <v>698.4955670198635</v>
      </c>
      <c r="P13" s="94">
        <f t="shared" si="3"/>
        <v>727.852407919575</v>
      </c>
    </row>
    <row r="14" spans="1:16" ht="21.75" customHeight="1">
      <c r="A14" s="2" t="s">
        <v>11</v>
      </c>
      <c r="B14" s="74">
        <v>2</v>
      </c>
      <c r="C14" s="74">
        <v>3</v>
      </c>
      <c r="D14" s="74">
        <v>2</v>
      </c>
      <c r="E14" s="74">
        <v>2</v>
      </c>
      <c r="F14" s="74">
        <v>4</v>
      </c>
      <c r="G14" s="82">
        <v>1</v>
      </c>
      <c r="H14" s="82">
        <v>1</v>
      </c>
      <c r="I14" s="82">
        <v>1</v>
      </c>
      <c r="J14" s="74">
        <v>0.3</v>
      </c>
      <c r="K14" s="74">
        <v>0.8</v>
      </c>
      <c r="L14" s="94">
        <f t="shared" si="0"/>
        <v>500</v>
      </c>
      <c r="M14" s="94">
        <f t="shared" si="1"/>
        <v>333.3333333333333</v>
      </c>
      <c r="N14" s="94">
        <f t="shared" si="2"/>
        <v>500</v>
      </c>
      <c r="O14" s="94">
        <f t="shared" si="3"/>
        <v>150</v>
      </c>
      <c r="P14" s="94">
        <f t="shared" si="3"/>
        <v>200</v>
      </c>
    </row>
    <row r="15" spans="1:16" ht="21.75" customHeight="1" hidden="1">
      <c r="A15" s="2" t="s">
        <v>12</v>
      </c>
      <c r="B15" s="74"/>
      <c r="C15" s="74"/>
      <c r="D15" s="74"/>
      <c r="E15" s="74"/>
      <c r="F15" s="74"/>
      <c r="G15" s="82"/>
      <c r="H15" s="82"/>
      <c r="I15" s="82"/>
      <c r="J15" s="82"/>
      <c r="K15" s="82"/>
      <c r="L15" s="94" t="e">
        <f t="shared" si="0"/>
        <v>#DIV/0!</v>
      </c>
      <c r="M15" s="94" t="e">
        <f t="shared" si="1"/>
        <v>#DIV/0!</v>
      </c>
      <c r="N15" s="94" t="e">
        <f t="shared" si="2"/>
        <v>#DIV/0!</v>
      </c>
      <c r="O15" s="94" t="e">
        <f t="shared" si="3"/>
        <v>#DIV/0!</v>
      </c>
      <c r="P15" s="94" t="e">
        <f t="shared" si="3"/>
        <v>#DIV/0!</v>
      </c>
    </row>
    <row r="16" spans="1:16" ht="21.75" customHeight="1">
      <c r="A16" s="2" t="s">
        <v>13</v>
      </c>
      <c r="B16" s="74">
        <v>784.6</v>
      </c>
      <c r="C16" s="74">
        <v>762</v>
      </c>
      <c r="D16" s="74">
        <v>713</v>
      </c>
      <c r="E16" s="74">
        <v>617</v>
      </c>
      <c r="F16" s="74">
        <v>708</v>
      </c>
      <c r="G16" s="82">
        <v>919.1589</v>
      </c>
      <c r="H16" s="82">
        <v>844.296</v>
      </c>
      <c r="I16" s="82">
        <v>717.2</v>
      </c>
      <c r="J16" s="74">
        <v>666</v>
      </c>
      <c r="K16" s="74">
        <v>920</v>
      </c>
      <c r="L16" s="94">
        <f t="shared" si="0"/>
        <v>1171.5</v>
      </c>
      <c r="M16" s="94">
        <f t="shared" si="1"/>
        <v>1108</v>
      </c>
      <c r="N16" s="94">
        <f t="shared" si="2"/>
        <v>1005.8906030855541</v>
      </c>
      <c r="O16" s="94">
        <f t="shared" si="3"/>
        <v>1079.416531604538</v>
      </c>
      <c r="P16" s="94">
        <f t="shared" si="3"/>
        <v>1299.4350282485875</v>
      </c>
    </row>
    <row r="17" spans="1:16" ht="21.75" customHeight="1">
      <c r="A17" s="2" t="s">
        <v>14</v>
      </c>
      <c r="B17" s="74">
        <v>9</v>
      </c>
      <c r="C17" s="74">
        <v>10</v>
      </c>
      <c r="D17" s="74">
        <v>10</v>
      </c>
      <c r="E17" s="74">
        <v>10</v>
      </c>
      <c r="F17" s="74">
        <v>9.5</v>
      </c>
      <c r="G17" s="82">
        <v>2</v>
      </c>
      <c r="H17" s="82">
        <v>4</v>
      </c>
      <c r="I17" s="82">
        <v>2</v>
      </c>
      <c r="J17" s="74">
        <v>3</v>
      </c>
      <c r="K17" s="74">
        <v>3.4</v>
      </c>
      <c r="L17" s="94">
        <f t="shared" si="0"/>
        <v>222.2222222222222</v>
      </c>
      <c r="M17" s="94">
        <f t="shared" si="1"/>
        <v>400</v>
      </c>
      <c r="N17" s="94">
        <f t="shared" si="2"/>
        <v>200</v>
      </c>
      <c r="O17" s="94">
        <f t="shared" si="3"/>
        <v>300</v>
      </c>
      <c r="P17" s="94">
        <f t="shared" si="3"/>
        <v>357.89473684210526</v>
      </c>
    </row>
    <row r="18" spans="1:16" ht="21.75" customHeight="1">
      <c r="A18" s="18" t="s">
        <v>37</v>
      </c>
      <c r="B18" s="83">
        <v>36</v>
      </c>
      <c r="C18" s="83">
        <v>28.5</v>
      </c>
      <c r="D18" s="83">
        <v>28.27</v>
      </c>
      <c r="E18" s="74">
        <v>29</v>
      </c>
      <c r="F18" s="74">
        <v>29.13</v>
      </c>
      <c r="G18" s="82">
        <v>30.21</v>
      </c>
      <c r="H18" s="82">
        <v>23.85</v>
      </c>
      <c r="I18" s="82">
        <v>24.52</v>
      </c>
      <c r="J18" s="74">
        <v>24.52</v>
      </c>
      <c r="K18" s="74">
        <v>24.9</v>
      </c>
      <c r="L18" s="94">
        <f t="shared" si="0"/>
        <v>839.1666666666667</v>
      </c>
      <c r="M18" s="94">
        <f t="shared" si="1"/>
        <v>836.8421052631579</v>
      </c>
      <c r="N18" s="94">
        <f t="shared" si="2"/>
        <v>867.3505482844004</v>
      </c>
      <c r="O18" s="94">
        <f t="shared" si="3"/>
        <v>845.5172413793102</v>
      </c>
      <c r="P18" s="94">
        <f t="shared" si="3"/>
        <v>854.788877445932</v>
      </c>
    </row>
    <row r="19" spans="1:16" ht="21.75" customHeight="1">
      <c r="A19" s="2" t="s">
        <v>38</v>
      </c>
      <c r="B19" s="74">
        <v>7.19</v>
      </c>
      <c r="C19" s="74">
        <v>9.76</v>
      </c>
      <c r="D19" s="74">
        <v>9.78</v>
      </c>
      <c r="E19" s="74">
        <v>9.786</v>
      </c>
      <c r="F19" s="74">
        <v>9.85</v>
      </c>
      <c r="G19" s="82">
        <v>4.83</v>
      </c>
      <c r="H19" s="82">
        <v>9.15</v>
      </c>
      <c r="I19" s="82">
        <v>9.35</v>
      </c>
      <c r="J19" s="74">
        <v>9.466</v>
      </c>
      <c r="K19" s="74">
        <v>9.2</v>
      </c>
      <c r="L19" s="94">
        <f t="shared" si="0"/>
        <v>671.7663421418637</v>
      </c>
      <c r="M19" s="94">
        <f t="shared" si="1"/>
        <v>937.5000000000001</v>
      </c>
      <c r="N19" s="94">
        <f t="shared" si="2"/>
        <v>956.0327198364008</v>
      </c>
      <c r="O19" s="94">
        <f t="shared" si="3"/>
        <v>967.3002248109543</v>
      </c>
      <c r="P19" s="94">
        <f t="shared" si="3"/>
        <v>934.0101522842639</v>
      </c>
    </row>
    <row r="20" spans="1:16" ht="21.75" customHeight="1">
      <c r="A20" s="18" t="s">
        <v>39</v>
      </c>
      <c r="B20" s="83">
        <v>0.29</v>
      </c>
      <c r="C20" s="83">
        <v>0.3</v>
      </c>
      <c r="D20" s="83">
        <v>0.31</v>
      </c>
      <c r="E20" s="74">
        <v>0.743</v>
      </c>
      <c r="F20" s="74">
        <v>0.326</v>
      </c>
      <c r="G20" s="82">
        <v>0.2</v>
      </c>
      <c r="H20" s="82">
        <v>0.33</v>
      </c>
      <c r="I20" s="82">
        <v>0.31</v>
      </c>
      <c r="J20" s="74">
        <v>0.694</v>
      </c>
      <c r="K20" s="74">
        <v>0.327</v>
      </c>
      <c r="L20" s="94">
        <f t="shared" si="0"/>
        <v>689.6551724137931</v>
      </c>
      <c r="M20" s="94">
        <f t="shared" si="1"/>
        <v>1100</v>
      </c>
      <c r="N20" s="94">
        <f t="shared" si="2"/>
        <v>1000</v>
      </c>
      <c r="O20" s="94">
        <f t="shared" si="3"/>
        <v>934.0511440107671</v>
      </c>
      <c r="P20" s="94">
        <f t="shared" si="3"/>
        <v>1003.0674846625767</v>
      </c>
    </row>
    <row r="21" spans="1:16" ht="21.75" customHeight="1">
      <c r="A21" s="2" t="s">
        <v>15</v>
      </c>
      <c r="B21" s="74">
        <v>27.17</v>
      </c>
      <c r="C21" s="74">
        <v>27.18</v>
      </c>
      <c r="D21" s="74">
        <v>27.28</v>
      </c>
      <c r="E21" s="74">
        <v>27.54</v>
      </c>
      <c r="F21" s="74">
        <v>27.4</v>
      </c>
      <c r="G21" s="82">
        <v>27.42</v>
      </c>
      <c r="H21" s="82">
        <v>27.46</v>
      </c>
      <c r="I21" s="82">
        <v>27.6</v>
      </c>
      <c r="J21" s="74">
        <v>27.84</v>
      </c>
      <c r="K21" s="74">
        <v>27.76</v>
      </c>
      <c r="L21" s="94">
        <f t="shared" si="0"/>
        <v>1009.2013249907988</v>
      </c>
      <c r="M21" s="94">
        <f t="shared" si="1"/>
        <v>1010.3016924208979</v>
      </c>
      <c r="N21" s="94">
        <f t="shared" si="2"/>
        <v>1011.7302052785924</v>
      </c>
      <c r="O21" s="94">
        <f t="shared" si="3"/>
        <v>1010.8932461873638</v>
      </c>
      <c r="P21" s="94">
        <f t="shared" si="3"/>
        <v>1013.1386861313869</v>
      </c>
    </row>
    <row r="22" spans="1:16" ht="21.75" customHeight="1">
      <c r="A22" s="2" t="s">
        <v>111</v>
      </c>
      <c r="B22" s="74">
        <v>14.63</v>
      </c>
      <c r="C22" s="74">
        <v>13.44</v>
      </c>
      <c r="D22" s="74">
        <v>10.12</v>
      </c>
      <c r="E22" s="74">
        <v>7.31</v>
      </c>
      <c r="F22" s="74">
        <v>9.7</v>
      </c>
      <c r="G22" s="82">
        <v>4.03</v>
      </c>
      <c r="H22" s="82">
        <v>3.62</v>
      </c>
      <c r="I22" s="82">
        <v>2.47</v>
      </c>
      <c r="J22" s="74">
        <v>1.5</v>
      </c>
      <c r="K22" s="74">
        <v>3.35</v>
      </c>
      <c r="L22" s="94">
        <f t="shared" si="0"/>
        <v>275.4613807245386</v>
      </c>
      <c r="M22" s="94">
        <f t="shared" si="1"/>
        <v>269.34523809523813</v>
      </c>
      <c r="N22" s="94">
        <f t="shared" si="2"/>
        <v>244.0711462450593</v>
      </c>
      <c r="O22" s="94">
        <f t="shared" si="3"/>
        <v>205.1983584131327</v>
      </c>
      <c r="P22" s="94">
        <f t="shared" si="3"/>
        <v>345.3608247422681</v>
      </c>
    </row>
    <row r="23" spans="1:16" ht="21.75" customHeight="1">
      <c r="A23" s="2" t="s">
        <v>75</v>
      </c>
      <c r="B23" s="74">
        <v>32</v>
      </c>
      <c r="C23" s="74">
        <v>32</v>
      </c>
      <c r="D23" s="74">
        <v>31</v>
      </c>
      <c r="E23" s="74">
        <v>31</v>
      </c>
      <c r="F23" s="74">
        <v>31.7</v>
      </c>
      <c r="G23" s="74">
        <v>41</v>
      </c>
      <c r="H23" s="74">
        <v>41.8</v>
      </c>
      <c r="I23" s="74">
        <v>38.7</v>
      </c>
      <c r="J23" s="74">
        <v>41.8</v>
      </c>
      <c r="K23" s="74">
        <v>44.8</v>
      </c>
      <c r="L23" s="94">
        <f t="shared" si="0"/>
        <v>1281.25</v>
      </c>
      <c r="M23" s="94">
        <f t="shared" si="1"/>
        <v>1306.25</v>
      </c>
      <c r="N23" s="94">
        <f t="shared" si="2"/>
        <v>1248.3870967741937</v>
      </c>
      <c r="O23" s="94">
        <f t="shared" si="3"/>
        <v>1348.3870967741937</v>
      </c>
      <c r="P23" s="94">
        <f t="shared" si="3"/>
        <v>1413.2492113564667</v>
      </c>
    </row>
    <row r="24" spans="1:16" ht="21.75" customHeight="1">
      <c r="A24" s="2" t="s">
        <v>76</v>
      </c>
      <c r="B24" s="74">
        <v>2834.74</v>
      </c>
      <c r="C24" s="74">
        <v>3078.94</v>
      </c>
      <c r="D24" s="74">
        <v>2474.38</v>
      </c>
      <c r="E24" s="74">
        <v>2532.33</v>
      </c>
      <c r="F24" s="74">
        <v>2563.6</v>
      </c>
      <c r="G24" s="74">
        <v>3814.571</v>
      </c>
      <c r="H24" s="74">
        <v>3797.142</v>
      </c>
      <c r="I24" s="74">
        <v>2895.71</v>
      </c>
      <c r="J24" s="74">
        <v>3257.987</v>
      </c>
      <c r="K24" s="74">
        <v>3645.4392</v>
      </c>
      <c r="L24" s="94">
        <f t="shared" si="0"/>
        <v>1345.6511002772743</v>
      </c>
      <c r="M24" s="94">
        <f t="shared" si="1"/>
        <v>1233.2627462698201</v>
      </c>
      <c r="N24" s="94">
        <f t="shared" si="2"/>
        <v>1170.276998682498</v>
      </c>
      <c r="O24" s="94">
        <f t="shared" si="3"/>
        <v>1286.5570443030726</v>
      </c>
      <c r="P24" s="94">
        <f t="shared" si="3"/>
        <v>1422</v>
      </c>
    </row>
    <row r="25" spans="1:16" ht="21.75" customHeight="1">
      <c r="A25" s="2" t="s">
        <v>43</v>
      </c>
      <c r="B25" s="74">
        <v>4.38</v>
      </c>
      <c r="C25" s="74">
        <v>4.07</v>
      </c>
      <c r="D25" s="74">
        <v>3.86</v>
      </c>
      <c r="E25" s="74">
        <v>3.66</v>
      </c>
      <c r="F25" s="74">
        <v>3.67</v>
      </c>
      <c r="G25" s="82">
        <v>3.5</v>
      </c>
      <c r="H25" s="82">
        <v>3.38</v>
      </c>
      <c r="I25" s="82">
        <v>3.21</v>
      </c>
      <c r="J25" s="74">
        <v>3.12</v>
      </c>
      <c r="K25" s="74">
        <v>3.18</v>
      </c>
      <c r="L25" s="94">
        <f t="shared" si="0"/>
        <v>799.0867579908676</v>
      </c>
      <c r="M25" s="94">
        <f t="shared" si="1"/>
        <v>830.4668304668303</v>
      </c>
      <c r="N25" s="94">
        <f t="shared" si="2"/>
        <v>831.6062176165804</v>
      </c>
      <c r="O25" s="94">
        <f t="shared" si="3"/>
        <v>852.4590163934425</v>
      </c>
      <c r="P25" s="94">
        <f t="shared" si="3"/>
        <v>866.4850136239783</v>
      </c>
    </row>
    <row r="26" spans="1:16" ht="21.75" customHeight="1">
      <c r="A26" s="2" t="s">
        <v>19</v>
      </c>
      <c r="B26" s="74">
        <v>0.61</v>
      </c>
      <c r="C26" s="74">
        <v>0.58</v>
      </c>
      <c r="D26" s="74">
        <v>0.3</v>
      </c>
      <c r="E26" s="74">
        <v>0.35</v>
      </c>
      <c r="F26" s="74">
        <v>0.2</v>
      </c>
      <c r="G26" s="82">
        <v>0.14</v>
      </c>
      <c r="H26" s="82">
        <v>0.14</v>
      </c>
      <c r="I26" s="82">
        <v>0.07</v>
      </c>
      <c r="J26" s="74">
        <v>0.08</v>
      </c>
      <c r="K26" s="74">
        <v>0.04</v>
      </c>
      <c r="L26" s="94">
        <f t="shared" si="0"/>
        <v>229.50819672131152</v>
      </c>
      <c r="M26" s="94">
        <f t="shared" si="1"/>
        <v>241.37931034482762</v>
      </c>
      <c r="N26" s="94">
        <f t="shared" si="2"/>
        <v>233.33333333333337</v>
      </c>
      <c r="O26" s="94">
        <f t="shared" si="3"/>
        <v>228.57142857142858</v>
      </c>
      <c r="P26" s="94">
        <f t="shared" si="3"/>
        <v>199.99999999999997</v>
      </c>
    </row>
    <row r="27" spans="1:16" ht="21.75" customHeight="1">
      <c r="A27" s="2" t="s">
        <v>116</v>
      </c>
      <c r="B27" s="74">
        <v>0</v>
      </c>
      <c r="C27" s="74">
        <v>0</v>
      </c>
      <c r="D27" s="74">
        <v>2</v>
      </c>
      <c r="E27" s="74">
        <v>1</v>
      </c>
      <c r="F27" s="74">
        <v>3</v>
      </c>
      <c r="G27" s="82">
        <v>0</v>
      </c>
      <c r="H27" s="82">
        <v>0</v>
      </c>
      <c r="I27" s="82">
        <v>4</v>
      </c>
      <c r="J27" s="74">
        <v>2</v>
      </c>
      <c r="K27" s="74">
        <v>5</v>
      </c>
      <c r="L27" s="94">
        <v>0</v>
      </c>
      <c r="M27" s="94">
        <v>0</v>
      </c>
      <c r="N27" s="94">
        <f t="shared" si="2"/>
        <v>2000</v>
      </c>
      <c r="O27" s="94">
        <f t="shared" si="3"/>
        <v>2000</v>
      </c>
      <c r="P27" s="94">
        <f t="shared" si="3"/>
        <v>1666.6666666666667</v>
      </c>
    </row>
    <row r="28" spans="1:16" ht="21.75" customHeight="1">
      <c r="A28" s="2" t="s">
        <v>20</v>
      </c>
      <c r="B28" s="74">
        <v>2.13</v>
      </c>
      <c r="C28" s="74">
        <v>2.62</v>
      </c>
      <c r="D28" s="74">
        <v>5.93</v>
      </c>
      <c r="E28" s="74">
        <v>6.418</v>
      </c>
      <c r="F28" s="74">
        <v>7.5</v>
      </c>
      <c r="G28" s="82">
        <v>1.701</v>
      </c>
      <c r="H28" s="82">
        <v>2.16</v>
      </c>
      <c r="I28" s="82">
        <v>4.93</v>
      </c>
      <c r="J28" s="74">
        <v>5.166</v>
      </c>
      <c r="K28" s="74">
        <v>6.188</v>
      </c>
      <c r="L28" s="94">
        <f t="shared" si="0"/>
        <v>798.5915492957747</v>
      </c>
      <c r="M28" s="94">
        <f t="shared" si="1"/>
        <v>824.4274809160306</v>
      </c>
      <c r="N28" s="94">
        <f t="shared" si="2"/>
        <v>831.3659359190556</v>
      </c>
      <c r="O28" s="94">
        <f t="shared" si="3"/>
        <v>804.9236522281085</v>
      </c>
      <c r="P28" s="94">
        <f t="shared" si="3"/>
        <v>825.0666666666666</v>
      </c>
    </row>
    <row r="29" spans="1:16" ht="21.75" customHeight="1">
      <c r="A29" s="19" t="s">
        <v>77</v>
      </c>
      <c r="B29" s="74">
        <v>662</v>
      </c>
      <c r="C29" s="74">
        <v>662</v>
      </c>
      <c r="D29" s="74">
        <v>626</v>
      </c>
      <c r="E29" s="74">
        <v>593</v>
      </c>
      <c r="F29" s="74">
        <v>689</v>
      </c>
      <c r="G29" s="74">
        <v>836</v>
      </c>
      <c r="H29" s="74">
        <v>736.806</v>
      </c>
      <c r="I29" s="74">
        <v>582.18</v>
      </c>
      <c r="J29" s="74">
        <v>603</v>
      </c>
      <c r="K29" s="74">
        <v>858</v>
      </c>
      <c r="L29" s="94">
        <f t="shared" si="0"/>
        <v>1262.8398791540785</v>
      </c>
      <c r="M29" s="94">
        <f t="shared" si="1"/>
        <v>1113</v>
      </c>
      <c r="N29" s="94">
        <f t="shared" si="2"/>
        <v>929.9999999999999</v>
      </c>
      <c r="O29" s="94">
        <f t="shared" si="3"/>
        <v>1016.8634064080943</v>
      </c>
      <c r="P29" s="94">
        <f t="shared" si="3"/>
        <v>1245.2830188679245</v>
      </c>
    </row>
    <row r="30" spans="1:16" ht="21.75" customHeight="1">
      <c r="A30" s="2" t="s">
        <v>86</v>
      </c>
      <c r="B30" s="74">
        <v>18.08</v>
      </c>
      <c r="C30" s="74">
        <v>13.89</v>
      </c>
      <c r="D30" s="74">
        <v>16.22</v>
      </c>
      <c r="E30" s="74">
        <v>15.86</v>
      </c>
      <c r="F30" s="74">
        <v>13</v>
      </c>
      <c r="G30" s="74">
        <v>16.87</v>
      </c>
      <c r="H30" s="74">
        <v>10.26</v>
      </c>
      <c r="I30" s="74">
        <v>11.61</v>
      </c>
      <c r="J30" s="74">
        <v>15.52</v>
      </c>
      <c r="K30" s="74">
        <v>11</v>
      </c>
      <c r="L30" s="94">
        <f t="shared" si="0"/>
        <v>933.0752212389382</v>
      </c>
      <c r="M30" s="94">
        <f t="shared" si="1"/>
        <v>738.6609071274297</v>
      </c>
      <c r="N30" s="94">
        <f t="shared" si="2"/>
        <v>715.7829839704069</v>
      </c>
      <c r="O30" s="94">
        <f t="shared" si="3"/>
        <v>978.562421185372</v>
      </c>
      <c r="P30" s="94">
        <f t="shared" si="3"/>
        <v>846.1538461538462</v>
      </c>
    </row>
    <row r="31" spans="1:16" ht="21.75" customHeight="1">
      <c r="A31" s="2" t="s">
        <v>23</v>
      </c>
      <c r="B31" s="74">
        <v>446.92</v>
      </c>
      <c r="C31" s="74">
        <v>448.591</v>
      </c>
      <c r="D31" s="74">
        <v>448.6</v>
      </c>
      <c r="E31" s="74">
        <v>457.832</v>
      </c>
      <c r="F31" s="74">
        <v>459.105</v>
      </c>
      <c r="G31" s="74">
        <v>474.83</v>
      </c>
      <c r="H31" s="74">
        <v>478.084</v>
      </c>
      <c r="I31" s="74">
        <v>479.65</v>
      </c>
      <c r="J31" s="74">
        <v>499</v>
      </c>
      <c r="K31" s="74">
        <v>494.671</v>
      </c>
      <c r="L31" s="94">
        <f t="shared" si="0"/>
        <v>1062.4496554193142</v>
      </c>
      <c r="M31" s="94">
        <f t="shared" si="1"/>
        <v>1065.7458575851945</v>
      </c>
      <c r="N31" s="94">
        <f t="shared" si="2"/>
        <v>1069.2153366027642</v>
      </c>
      <c r="O31" s="94">
        <f t="shared" si="3"/>
        <v>1089.9194464345</v>
      </c>
      <c r="P31" s="94">
        <f t="shared" si="3"/>
        <v>1077.468117315211</v>
      </c>
    </row>
    <row r="32" spans="1:16" ht="21.75" customHeight="1">
      <c r="A32" s="2" t="s">
        <v>114</v>
      </c>
      <c r="B32" s="73">
        <v>0</v>
      </c>
      <c r="C32" s="74">
        <v>0.009</v>
      </c>
      <c r="D32" s="74">
        <v>0.01</v>
      </c>
      <c r="E32" s="74">
        <v>0.0053</v>
      </c>
      <c r="F32" s="74">
        <v>0.0045</v>
      </c>
      <c r="G32" s="73">
        <v>0</v>
      </c>
      <c r="H32" s="74">
        <v>0.007</v>
      </c>
      <c r="I32" s="74">
        <v>0</v>
      </c>
      <c r="J32" s="74">
        <v>0.00135</v>
      </c>
      <c r="K32" s="74">
        <v>0.00116</v>
      </c>
      <c r="L32" s="94">
        <v>0</v>
      </c>
      <c r="M32" s="94">
        <f aca="true" t="shared" si="4" ref="M32:P35">H32/C32*1000</f>
        <v>777.7777777777779</v>
      </c>
      <c r="N32" s="94">
        <f t="shared" si="4"/>
        <v>0</v>
      </c>
      <c r="O32" s="94">
        <f t="shared" si="4"/>
        <v>254.71698113207546</v>
      </c>
      <c r="P32" s="94">
        <f t="shared" si="4"/>
        <v>257.77777777777777</v>
      </c>
    </row>
    <row r="33" spans="1:16" ht="21.75" customHeight="1">
      <c r="A33" s="2" t="s">
        <v>123</v>
      </c>
      <c r="B33" s="73">
        <v>0</v>
      </c>
      <c r="C33" s="73">
        <v>0</v>
      </c>
      <c r="D33" s="73">
        <v>0</v>
      </c>
      <c r="E33" s="73">
        <v>0</v>
      </c>
      <c r="F33" s="74">
        <v>0.005</v>
      </c>
      <c r="G33" s="73">
        <v>0</v>
      </c>
      <c r="H33" s="73">
        <v>0</v>
      </c>
      <c r="I33" s="73">
        <v>0</v>
      </c>
      <c r="J33" s="73">
        <v>0</v>
      </c>
      <c r="K33" s="74">
        <v>0.0025</v>
      </c>
      <c r="L33" s="94">
        <v>0</v>
      </c>
      <c r="M33" s="94">
        <v>0</v>
      </c>
      <c r="N33" s="94">
        <v>0</v>
      </c>
      <c r="O33" s="94">
        <v>0</v>
      </c>
      <c r="P33" s="94">
        <f t="shared" si="4"/>
        <v>500</v>
      </c>
    </row>
    <row r="34" spans="1:16" ht="21.75" customHeight="1">
      <c r="A34" s="2" t="s">
        <v>44</v>
      </c>
      <c r="B34" s="74">
        <v>6.8</v>
      </c>
      <c r="C34" s="73">
        <v>0</v>
      </c>
      <c r="D34" s="73">
        <v>0</v>
      </c>
      <c r="E34" s="74">
        <v>3.685</v>
      </c>
      <c r="F34" s="74">
        <v>3.628</v>
      </c>
      <c r="G34" s="74">
        <v>8.6</v>
      </c>
      <c r="H34" s="73">
        <v>0</v>
      </c>
      <c r="I34" s="73">
        <v>0</v>
      </c>
      <c r="J34" s="74">
        <v>4.643</v>
      </c>
      <c r="K34" s="74">
        <v>4.527</v>
      </c>
      <c r="L34" s="94">
        <v>0</v>
      </c>
      <c r="M34" s="94">
        <v>0</v>
      </c>
      <c r="N34" s="94">
        <v>0</v>
      </c>
      <c r="O34" s="94">
        <f t="shared" si="4"/>
        <v>1259.9728629579374</v>
      </c>
      <c r="P34" s="94">
        <f t="shared" si="4"/>
        <v>1247.7949283351709</v>
      </c>
    </row>
    <row r="35" spans="1:16" s="25" customFormat="1" ht="21.75" customHeight="1">
      <c r="A35" s="63" t="s">
        <v>45</v>
      </c>
      <c r="B35" s="75">
        <f aca="true" t="shared" si="5" ref="B35:K35">SUM(B4:B34)</f>
        <v>6362.593</v>
      </c>
      <c r="C35" s="75">
        <f t="shared" si="5"/>
        <v>6645.744000000001</v>
      </c>
      <c r="D35" s="75">
        <f t="shared" si="5"/>
        <v>5799.080000000001</v>
      </c>
      <c r="E35" s="75">
        <f t="shared" si="5"/>
        <v>5745.5163</v>
      </c>
      <c r="F35" s="75">
        <f t="shared" si="5"/>
        <v>6073.8234999999995</v>
      </c>
      <c r="G35" s="75">
        <f t="shared" si="5"/>
        <v>8028.9335</v>
      </c>
      <c r="H35" s="75">
        <f t="shared" si="5"/>
        <v>7876.65125</v>
      </c>
      <c r="I35" s="75">
        <f t="shared" si="5"/>
        <v>6282.439999999999</v>
      </c>
      <c r="J35" s="75">
        <f t="shared" si="5"/>
        <v>6796.71525</v>
      </c>
      <c r="K35" s="75">
        <f t="shared" si="5"/>
        <v>7917.2348600000005</v>
      </c>
      <c r="L35" s="136">
        <f>G35/B35*1000</f>
        <v>1261.8964469360212</v>
      </c>
      <c r="M35" s="136">
        <f t="shared" si="4"/>
        <v>1185.2173737056378</v>
      </c>
      <c r="N35" s="136">
        <f t="shared" si="4"/>
        <v>1083.351152251736</v>
      </c>
      <c r="O35" s="136">
        <f t="shared" si="4"/>
        <v>1182.9598760341173</v>
      </c>
      <c r="P35" s="136">
        <f t="shared" si="4"/>
        <v>1303.500975950322</v>
      </c>
    </row>
    <row r="36" spans="1:11" ht="15">
      <c r="A36" s="58"/>
      <c r="B36" s="14"/>
      <c r="C36" s="14"/>
      <c r="D36" s="14"/>
      <c r="E36" s="32"/>
      <c r="F36" s="32"/>
      <c r="G36" s="14"/>
      <c r="H36" s="14"/>
      <c r="I36" s="14"/>
      <c r="J36" s="14"/>
      <c r="K36" s="14"/>
    </row>
    <row r="37" ht="15">
      <c r="K37" s="101"/>
    </row>
    <row r="38" spans="2:11" ht="15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 ht="15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</sheetData>
  <sheetProtection/>
  <mergeCells count="5">
    <mergeCell ref="B2:F2"/>
    <mergeCell ref="A2:A3"/>
    <mergeCell ref="L2:P2"/>
    <mergeCell ref="G2:K2"/>
    <mergeCell ref="A1:P1"/>
  </mergeCells>
  <printOptions horizontalCentered="1" verticalCentered="1"/>
  <pageMargins left="0.511811023622047" right="0.511811023622047" top="0.511811023622047" bottom="0.236220472440945" header="0.511811023622047" footer="0.51181102362204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28"/>
  <sheetViews>
    <sheetView view="pageBreakPreview" zoomScale="70" zoomScaleNormal="60" zoomScaleSheetLayoutView="70" zoomScalePageLayoutView="0" workbookViewId="0" topLeftCell="A1">
      <pane xSplit="1" ySplit="3" topLeftCell="B4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M23" sqref="M23:P23"/>
    </sheetView>
  </sheetViews>
  <sheetFormatPr defaultColWidth="9.140625" defaultRowHeight="12.75"/>
  <cols>
    <col min="1" max="1" width="20.421875" style="3" customWidth="1"/>
    <col min="2" max="3" width="10.7109375" style="3" customWidth="1"/>
    <col min="4" max="4" width="11.28125" style="3" customWidth="1"/>
    <col min="5" max="6" width="11.28125" style="61" customWidth="1"/>
    <col min="7" max="8" width="10.7109375" style="3" customWidth="1"/>
    <col min="9" max="9" width="11.421875" style="3" customWidth="1"/>
    <col min="10" max="11" width="11.421875" style="61" customWidth="1"/>
    <col min="12" max="12" width="11.00390625" style="3" customWidth="1"/>
    <col min="13" max="13" width="10.57421875" style="3" bestFit="1" customWidth="1"/>
    <col min="14" max="14" width="10.8515625" style="3" customWidth="1"/>
    <col min="15" max="16" width="10.8515625" style="61" customWidth="1"/>
    <col min="17" max="16384" width="9.140625" style="3" customWidth="1"/>
  </cols>
  <sheetData>
    <row r="1" spans="1:16" ht="27.75" customHeight="1">
      <c r="A1" s="202" t="s">
        <v>85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30" customHeight="1">
      <c r="A2" s="203" t="s">
        <v>0</v>
      </c>
      <c r="B2" s="185" t="s">
        <v>81</v>
      </c>
      <c r="C2" s="186"/>
      <c r="D2" s="186"/>
      <c r="E2" s="186"/>
      <c r="F2" s="187"/>
      <c r="G2" s="185" t="s">
        <v>82</v>
      </c>
      <c r="H2" s="186"/>
      <c r="I2" s="186"/>
      <c r="J2" s="186"/>
      <c r="K2" s="187"/>
      <c r="L2" s="184" t="s">
        <v>79</v>
      </c>
      <c r="M2" s="184"/>
      <c r="N2" s="184"/>
      <c r="O2" s="184"/>
      <c r="P2" s="184"/>
    </row>
    <row r="3" spans="1:16" s="15" customFormat="1" ht="36" customHeight="1">
      <c r="A3" s="203"/>
      <c r="B3" s="133" t="s">
        <v>112</v>
      </c>
      <c r="C3" s="133" t="s">
        <v>113</v>
      </c>
      <c r="D3" s="133" t="s">
        <v>115</v>
      </c>
      <c r="E3" s="133" t="s">
        <v>121</v>
      </c>
      <c r="F3" s="133" t="s">
        <v>122</v>
      </c>
      <c r="G3" s="133" t="s">
        <v>112</v>
      </c>
      <c r="H3" s="133" t="s">
        <v>113</v>
      </c>
      <c r="I3" s="133" t="s">
        <v>115</v>
      </c>
      <c r="J3" s="133" t="s">
        <v>121</v>
      </c>
      <c r="K3" s="133" t="s">
        <v>122</v>
      </c>
      <c r="L3" s="133" t="s">
        <v>112</v>
      </c>
      <c r="M3" s="133" t="s">
        <v>113</v>
      </c>
      <c r="N3" s="133" t="s">
        <v>115</v>
      </c>
      <c r="O3" s="133" t="s">
        <v>121</v>
      </c>
      <c r="P3" s="133" t="s">
        <v>122</v>
      </c>
    </row>
    <row r="4" spans="1:16" ht="30" customHeight="1">
      <c r="A4" s="2" t="s">
        <v>1</v>
      </c>
      <c r="B4" s="74">
        <v>0</v>
      </c>
      <c r="C4" s="74">
        <v>1</v>
      </c>
      <c r="D4" s="74">
        <v>0</v>
      </c>
      <c r="E4" s="73">
        <v>0</v>
      </c>
      <c r="F4" s="73">
        <v>0</v>
      </c>
      <c r="G4" s="82">
        <v>0</v>
      </c>
      <c r="H4" s="82">
        <v>0.48</v>
      </c>
      <c r="I4" s="82">
        <v>0</v>
      </c>
      <c r="J4" s="73">
        <v>0</v>
      </c>
      <c r="K4" s="73">
        <v>0</v>
      </c>
      <c r="L4" s="94">
        <v>0</v>
      </c>
      <c r="M4" s="94">
        <f aca="true" t="shared" si="0" ref="L4:N5">H4/C4*1000</f>
        <v>480</v>
      </c>
      <c r="N4" s="94">
        <v>0</v>
      </c>
      <c r="O4" s="94">
        <v>0</v>
      </c>
      <c r="P4" s="94">
        <v>0</v>
      </c>
    </row>
    <row r="5" spans="1:16" ht="30" customHeight="1">
      <c r="A5" s="2" t="s">
        <v>33</v>
      </c>
      <c r="B5" s="73">
        <v>0</v>
      </c>
      <c r="C5" s="73">
        <v>0</v>
      </c>
      <c r="D5" s="73">
        <v>0</v>
      </c>
      <c r="E5" s="73">
        <v>0</v>
      </c>
      <c r="F5" s="74">
        <v>0.036</v>
      </c>
      <c r="G5" s="73">
        <v>0</v>
      </c>
      <c r="H5" s="73">
        <v>0</v>
      </c>
      <c r="I5" s="73">
        <v>0</v>
      </c>
      <c r="J5" s="73">
        <v>0</v>
      </c>
      <c r="K5" s="74">
        <v>0.054</v>
      </c>
      <c r="L5" s="94">
        <v>0</v>
      </c>
      <c r="M5" s="94">
        <v>0</v>
      </c>
      <c r="N5" s="94">
        <v>0</v>
      </c>
      <c r="O5" s="94">
        <v>0</v>
      </c>
      <c r="P5" s="94">
        <f aca="true" t="shared" si="1" ref="O4:P25">K5/F5*1000</f>
        <v>1500</v>
      </c>
    </row>
    <row r="6" spans="1:16" ht="30" customHeight="1">
      <c r="A6" s="2" t="s">
        <v>29</v>
      </c>
      <c r="B6" s="74">
        <v>6.74</v>
      </c>
      <c r="C6" s="74">
        <v>5.99</v>
      </c>
      <c r="D6" s="74">
        <v>5.62</v>
      </c>
      <c r="E6" s="74">
        <v>5.272</v>
      </c>
      <c r="F6" s="74">
        <v>4.97</v>
      </c>
      <c r="G6" s="82">
        <v>3.83</v>
      </c>
      <c r="H6" s="82">
        <v>3.85</v>
      </c>
      <c r="I6" s="82">
        <v>3.95</v>
      </c>
      <c r="J6" s="74">
        <v>3.338</v>
      </c>
      <c r="K6" s="74">
        <v>3.023</v>
      </c>
      <c r="L6" s="94">
        <f aca="true" t="shared" si="2" ref="L6:L18">G6/B6*1000</f>
        <v>568.2492581602374</v>
      </c>
      <c r="M6" s="94">
        <f aca="true" t="shared" si="3" ref="M6:M18">H6/C6*1000</f>
        <v>642.7378964941569</v>
      </c>
      <c r="N6" s="94">
        <f aca="true" t="shared" si="4" ref="N6:N18">I6/D6*1000</f>
        <v>702.846975088968</v>
      </c>
      <c r="O6" s="94">
        <f t="shared" si="1"/>
        <v>633.1562974203339</v>
      </c>
      <c r="P6" s="94">
        <f t="shared" si="1"/>
        <v>608.2494969818914</v>
      </c>
    </row>
    <row r="7" spans="1:16" ht="30" customHeight="1">
      <c r="A7" s="2" t="s">
        <v>68</v>
      </c>
      <c r="B7" s="74">
        <v>21.97</v>
      </c>
      <c r="C7" s="74">
        <v>18.67</v>
      </c>
      <c r="D7" s="74">
        <v>16.44</v>
      </c>
      <c r="E7" s="74">
        <v>15.033</v>
      </c>
      <c r="F7" s="74">
        <v>12.684</v>
      </c>
      <c r="G7" s="82">
        <v>19.05</v>
      </c>
      <c r="H7" s="82">
        <v>15.87</v>
      </c>
      <c r="I7" s="82">
        <v>14.16</v>
      </c>
      <c r="J7" s="74">
        <v>12.911</v>
      </c>
      <c r="K7" s="74">
        <v>10.561</v>
      </c>
      <c r="L7" s="94">
        <f t="shared" si="2"/>
        <v>867.0914883932637</v>
      </c>
      <c r="M7" s="94">
        <f t="shared" si="3"/>
        <v>850.0267809319764</v>
      </c>
      <c r="N7" s="94">
        <f t="shared" si="4"/>
        <v>861.3138686131387</v>
      </c>
      <c r="O7" s="94">
        <f t="shared" si="1"/>
        <v>858.8438768043637</v>
      </c>
      <c r="P7" s="94">
        <f t="shared" si="1"/>
        <v>832.6237779880164</v>
      </c>
    </row>
    <row r="8" spans="1:16" ht="30" customHeight="1">
      <c r="A8" s="2" t="s">
        <v>6</v>
      </c>
      <c r="B8" s="74">
        <v>31.2</v>
      </c>
      <c r="C8" s="74">
        <v>26.2</v>
      </c>
      <c r="D8" s="74">
        <v>31</v>
      </c>
      <c r="E8" s="74">
        <v>27.1</v>
      </c>
      <c r="F8" s="74">
        <v>29.9</v>
      </c>
      <c r="G8" s="82">
        <v>8.9</v>
      </c>
      <c r="H8" s="82">
        <v>11.1</v>
      </c>
      <c r="I8" s="82">
        <v>12.3</v>
      </c>
      <c r="J8" s="74">
        <v>7.9</v>
      </c>
      <c r="K8" s="74">
        <v>10.3</v>
      </c>
      <c r="L8" s="94">
        <f t="shared" si="2"/>
        <v>285.2564102564103</v>
      </c>
      <c r="M8" s="94">
        <f t="shared" si="3"/>
        <v>423.66412213740455</v>
      </c>
      <c r="N8" s="94">
        <f t="shared" si="4"/>
        <v>396.77419354838713</v>
      </c>
      <c r="O8" s="94">
        <f t="shared" si="1"/>
        <v>291.5129151291513</v>
      </c>
      <c r="P8" s="94">
        <f t="shared" si="1"/>
        <v>344.48160535117063</v>
      </c>
    </row>
    <row r="9" spans="1:16" ht="30" customHeight="1">
      <c r="A9" s="2" t="s">
        <v>46</v>
      </c>
      <c r="B9" s="74">
        <v>1.1</v>
      </c>
      <c r="C9" s="74">
        <v>1.1</v>
      </c>
      <c r="D9" s="74">
        <v>0.7</v>
      </c>
      <c r="E9" s="74">
        <v>0.811</v>
      </c>
      <c r="F9" s="74">
        <v>0.956</v>
      </c>
      <c r="G9" s="82">
        <v>0.36</v>
      </c>
      <c r="H9" s="82">
        <v>0.28</v>
      </c>
      <c r="I9" s="82">
        <v>0.17</v>
      </c>
      <c r="J9" s="74">
        <v>0.239</v>
      </c>
      <c r="K9" s="74">
        <v>0.282</v>
      </c>
      <c r="L9" s="94">
        <f t="shared" si="2"/>
        <v>327.2727272727272</v>
      </c>
      <c r="M9" s="94">
        <f t="shared" si="3"/>
        <v>254.54545454545456</v>
      </c>
      <c r="N9" s="94">
        <f t="shared" si="4"/>
        <v>242.8571428571429</v>
      </c>
      <c r="O9" s="94">
        <f t="shared" si="1"/>
        <v>294.6979038224414</v>
      </c>
      <c r="P9" s="94">
        <f t="shared" si="1"/>
        <v>294.9790794979079</v>
      </c>
    </row>
    <row r="10" spans="1:16" ht="30" customHeight="1">
      <c r="A10" s="2" t="s">
        <v>42</v>
      </c>
      <c r="B10" s="74">
        <v>0.165</v>
      </c>
      <c r="C10" s="74">
        <v>0.3</v>
      </c>
      <c r="D10" s="74">
        <v>0.13</v>
      </c>
      <c r="E10" s="74">
        <v>0.164</v>
      </c>
      <c r="F10" s="74">
        <v>0.122</v>
      </c>
      <c r="G10" s="74">
        <v>0.096</v>
      </c>
      <c r="H10" s="74">
        <v>0.15</v>
      </c>
      <c r="I10" s="74">
        <v>0.12</v>
      </c>
      <c r="J10" s="74">
        <v>0.143992</v>
      </c>
      <c r="K10" s="74">
        <v>0.045</v>
      </c>
      <c r="L10" s="94">
        <f t="shared" si="2"/>
        <v>581.8181818181818</v>
      </c>
      <c r="M10" s="94">
        <f t="shared" si="3"/>
        <v>500</v>
      </c>
      <c r="N10" s="94">
        <f t="shared" si="4"/>
        <v>923.076923076923</v>
      </c>
      <c r="O10" s="94">
        <f t="shared" si="1"/>
        <v>878</v>
      </c>
      <c r="P10" s="94">
        <f t="shared" si="1"/>
        <v>368.8524590163935</v>
      </c>
    </row>
    <row r="11" spans="1:16" ht="30" customHeight="1">
      <c r="A11" s="2" t="s">
        <v>31</v>
      </c>
      <c r="B11" s="74">
        <v>25.66</v>
      </c>
      <c r="C11" s="74">
        <v>25.507</v>
      </c>
      <c r="D11" s="74">
        <v>28.84</v>
      </c>
      <c r="E11" s="74">
        <v>25.862</v>
      </c>
      <c r="F11" s="74">
        <v>38.532</v>
      </c>
      <c r="G11" s="82">
        <v>16.55</v>
      </c>
      <c r="H11" s="82">
        <v>14.5</v>
      </c>
      <c r="I11" s="82">
        <v>20.45</v>
      </c>
      <c r="J11" s="74">
        <v>13.804</v>
      </c>
      <c r="K11" s="74">
        <v>23.564</v>
      </c>
      <c r="L11" s="94">
        <f t="shared" si="2"/>
        <v>644.9727201870617</v>
      </c>
      <c r="M11" s="94">
        <f t="shared" si="3"/>
        <v>568.4714000078409</v>
      </c>
      <c r="N11" s="94">
        <f t="shared" si="4"/>
        <v>709.0846047156726</v>
      </c>
      <c r="O11" s="94">
        <f t="shared" si="1"/>
        <v>533.7560900162401</v>
      </c>
      <c r="P11" s="94">
        <f t="shared" si="1"/>
        <v>611.543652029482</v>
      </c>
    </row>
    <row r="12" spans="1:16" ht="30" customHeight="1">
      <c r="A12" s="2" t="s">
        <v>11</v>
      </c>
      <c r="B12" s="74">
        <v>7</v>
      </c>
      <c r="C12" s="74">
        <v>6</v>
      </c>
      <c r="D12" s="74">
        <v>5</v>
      </c>
      <c r="E12" s="74">
        <v>5</v>
      </c>
      <c r="F12" s="74">
        <v>3</v>
      </c>
      <c r="G12" s="82">
        <v>2.331</v>
      </c>
      <c r="H12" s="82">
        <v>2</v>
      </c>
      <c r="I12" s="82">
        <v>2</v>
      </c>
      <c r="J12" s="74">
        <v>1.4625</v>
      </c>
      <c r="K12" s="74">
        <v>1</v>
      </c>
      <c r="L12" s="94">
        <f t="shared" si="2"/>
        <v>333</v>
      </c>
      <c r="M12" s="94">
        <f t="shared" si="3"/>
        <v>333.3333333333333</v>
      </c>
      <c r="N12" s="94">
        <f t="shared" si="4"/>
        <v>400</v>
      </c>
      <c r="O12" s="94">
        <f t="shared" si="1"/>
        <v>292.5</v>
      </c>
      <c r="P12" s="94">
        <f t="shared" si="1"/>
        <v>333.3333333333333</v>
      </c>
    </row>
    <row r="13" spans="1:16" ht="30" customHeight="1">
      <c r="A13" s="2" t="s">
        <v>12</v>
      </c>
      <c r="B13" s="73">
        <v>0</v>
      </c>
      <c r="C13" s="73">
        <v>0</v>
      </c>
      <c r="D13" s="73">
        <v>0</v>
      </c>
      <c r="E13" s="73">
        <v>0</v>
      </c>
      <c r="F13" s="74">
        <v>4</v>
      </c>
      <c r="G13" s="73">
        <v>0</v>
      </c>
      <c r="H13" s="73">
        <v>0</v>
      </c>
      <c r="I13" s="73">
        <v>0</v>
      </c>
      <c r="J13" s="73">
        <v>0</v>
      </c>
      <c r="K13" s="88">
        <v>0</v>
      </c>
      <c r="L13" s="94">
        <v>0</v>
      </c>
      <c r="M13" s="94">
        <v>0</v>
      </c>
      <c r="N13" s="94">
        <v>0</v>
      </c>
      <c r="O13" s="94">
        <v>0</v>
      </c>
      <c r="P13" s="94">
        <f t="shared" si="1"/>
        <v>0</v>
      </c>
    </row>
    <row r="14" spans="1:16" ht="30" customHeight="1">
      <c r="A14" s="2" t="s">
        <v>13</v>
      </c>
      <c r="B14" s="74">
        <v>109.7</v>
      </c>
      <c r="C14" s="74">
        <v>110.4</v>
      </c>
      <c r="D14" s="74">
        <v>111</v>
      </c>
      <c r="E14" s="74">
        <v>116</v>
      </c>
      <c r="F14" s="74">
        <v>121</v>
      </c>
      <c r="G14" s="82">
        <v>57.4</v>
      </c>
      <c r="H14" s="82">
        <v>55</v>
      </c>
      <c r="I14" s="82">
        <v>60</v>
      </c>
      <c r="J14" s="74">
        <v>55</v>
      </c>
      <c r="K14" s="74">
        <v>61</v>
      </c>
      <c r="L14" s="94">
        <f t="shared" si="2"/>
        <v>523.2452142206016</v>
      </c>
      <c r="M14" s="94">
        <f t="shared" si="3"/>
        <v>498.18840579710144</v>
      </c>
      <c r="N14" s="94">
        <f t="shared" si="4"/>
        <v>540.5405405405405</v>
      </c>
      <c r="O14" s="94">
        <f t="shared" si="1"/>
        <v>474.1379310344828</v>
      </c>
      <c r="P14" s="94">
        <f t="shared" si="1"/>
        <v>504.13223140495865</v>
      </c>
    </row>
    <row r="15" spans="1:16" ht="30" customHeight="1">
      <c r="A15" s="10" t="s">
        <v>14</v>
      </c>
      <c r="B15" s="74">
        <v>27</v>
      </c>
      <c r="C15" s="74">
        <v>31</v>
      </c>
      <c r="D15" s="74">
        <v>24</v>
      </c>
      <c r="E15" s="74">
        <v>16</v>
      </c>
      <c r="F15" s="74">
        <v>14.2</v>
      </c>
      <c r="G15" s="82">
        <v>8</v>
      </c>
      <c r="H15" s="82">
        <v>8</v>
      </c>
      <c r="I15" s="82">
        <v>5</v>
      </c>
      <c r="J15" s="74">
        <v>4</v>
      </c>
      <c r="K15" s="74">
        <v>3.4</v>
      </c>
      <c r="L15" s="94">
        <f t="shared" si="2"/>
        <v>296.2962962962963</v>
      </c>
      <c r="M15" s="94">
        <f t="shared" si="3"/>
        <v>258.06451612903226</v>
      </c>
      <c r="N15" s="94">
        <f t="shared" si="4"/>
        <v>208.33333333333334</v>
      </c>
      <c r="O15" s="94">
        <f t="shared" si="1"/>
        <v>250</v>
      </c>
      <c r="P15" s="94">
        <f t="shared" si="1"/>
        <v>239.43661971830988</v>
      </c>
    </row>
    <row r="16" spans="1:16" ht="30" customHeight="1">
      <c r="A16" s="10" t="s">
        <v>38</v>
      </c>
      <c r="B16" s="74">
        <v>0.075</v>
      </c>
      <c r="C16" s="74">
        <v>0.09</v>
      </c>
      <c r="D16" s="74">
        <v>0.09</v>
      </c>
      <c r="E16" s="74">
        <v>0.091</v>
      </c>
      <c r="F16" s="74">
        <v>0.09</v>
      </c>
      <c r="G16" s="82">
        <v>0.03</v>
      </c>
      <c r="H16" s="82">
        <v>0.05</v>
      </c>
      <c r="I16" s="82">
        <v>0.05</v>
      </c>
      <c r="J16" s="74">
        <v>0.053</v>
      </c>
      <c r="K16" s="74">
        <v>0.05</v>
      </c>
      <c r="L16" s="94">
        <f t="shared" si="2"/>
        <v>400</v>
      </c>
      <c r="M16" s="94">
        <f t="shared" si="3"/>
        <v>555.5555555555555</v>
      </c>
      <c r="N16" s="94">
        <f t="shared" si="4"/>
        <v>555.5555555555555</v>
      </c>
      <c r="O16" s="94">
        <f t="shared" si="1"/>
        <v>582.4175824175825</v>
      </c>
      <c r="P16" s="94">
        <f t="shared" si="1"/>
        <v>555.5555555555555</v>
      </c>
    </row>
    <row r="17" spans="1:16" ht="30" customHeight="1">
      <c r="A17" s="10" t="s">
        <v>15</v>
      </c>
      <c r="B17" s="74">
        <v>5.74</v>
      </c>
      <c r="C17" s="74">
        <v>5.78</v>
      </c>
      <c r="D17" s="74">
        <v>5.78</v>
      </c>
      <c r="E17" s="74">
        <v>5.79</v>
      </c>
      <c r="F17" s="74">
        <v>5.81</v>
      </c>
      <c r="G17" s="82">
        <v>4.63</v>
      </c>
      <c r="H17" s="82">
        <v>4.64</v>
      </c>
      <c r="I17" s="82">
        <v>4.67</v>
      </c>
      <c r="J17" s="74">
        <v>4.68</v>
      </c>
      <c r="K17" s="74">
        <v>4.71</v>
      </c>
      <c r="L17" s="94">
        <f t="shared" si="2"/>
        <v>806.6202090592334</v>
      </c>
      <c r="M17" s="94">
        <f t="shared" si="3"/>
        <v>802.7681660899652</v>
      </c>
      <c r="N17" s="94">
        <f t="shared" si="4"/>
        <v>807.9584775086505</v>
      </c>
      <c r="O17" s="94">
        <f t="shared" si="1"/>
        <v>808.2901554404145</v>
      </c>
      <c r="P17" s="94">
        <f t="shared" si="1"/>
        <v>810.671256454389</v>
      </c>
    </row>
    <row r="18" spans="1:16" ht="30" customHeight="1">
      <c r="A18" s="2" t="s">
        <v>111</v>
      </c>
      <c r="B18" s="74">
        <v>24.525</v>
      </c>
      <c r="C18" s="74">
        <v>22.92</v>
      </c>
      <c r="D18" s="74">
        <v>24.01</v>
      </c>
      <c r="E18" s="74">
        <v>20.7</v>
      </c>
      <c r="F18" s="74">
        <v>16.21</v>
      </c>
      <c r="G18" s="82">
        <v>11.82</v>
      </c>
      <c r="H18" s="82">
        <v>10.96</v>
      </c>
      <c r="I18" s="82">
        <v>11.48</v>
      </c>
      <c r="J18" s="74">
        <v>9.873899999999999</v>
      </c>
      <c r="K18" s="74">
        <v>7.78</v>
      </c>
      <c r="L18" s="94">
        <f t="shared" si="2"/>
        <v>481.95718654434256</v>
      </c>
      <c r="M18" s="94">
        <f t="shared" si="3"/>
        <v>478.1849912739965</v>
      </c>
      <c r="N18" s="94">
        <f t="shared" si="4"/>
        <v>478.134110787172</v>
      </c>
      <c r="O18" s="94">
        <f t="shared" si="1"/>
        <v>477</v>
      </c>
      <c r="P18" s="94">
        <f t="shared" si="1"/>
        <v>479.9506477483035</v>
      </c>
    </row>
    <row r="19" spans="1:16" ht="30" customHeight="1" hidden="1">
      <c r="A19" s="2" t="s">
        <v>17</v>
      </c>
      <c r="B19" s="74"/>
      <c r="C19" s="74"/>
      <c r="D19" s="74"/>
      <c r="E19" s="74"/>
      <c r="F19" s="74"/>
      <c r="G19" s="82"/>
      <c r="H19" s="82"/>
      <c r="I19" s="82"/>
      <c r="J19" s="74"/>
      <c r="K19" s="74"/>
      <c r="L19" s="94"/>
      <c r="M19" s="94"/>
      <c r="N19" s="94"/>
      <c r="O19" s="94" t="e">
        <f t="shared" si="1"/>
        <v>#DIV/0!</v>
      </c>
      <c r="P19" s="94" t="e">
        <f t="shared" si="1"/>
        <v>#DIV/0!</v>
      </c>
    </row>
    <row r="20" spans="1:16" ht="30" customHeight="1">
      <c r="A20" s="2" t="s">
        <v>18</v>
      </c>
      <c r="B20" s="74">
        <v>1.06</v>
      </c>
      <c r="C20" s="74">
        <v>2.11</v>
      </c>
      <c r="D20" s="74">
        <v>2.56</v>
      </c>
      <c r="E20" s="74">
        <v>1.845</v>
      </c>
      <c r="F20" s="74">
        <v>34.951</v>
      </c>
      <c r="G20" s="82">
        <v>1.02</v>
      </c>
      <c r="H20" s="82">
        <v>2.85</v>
      </c>
      <c r="I20" s="82">
        <v>3.29</v>
      </c>
      <c r="J20" s="74">
        <v>1.869</v>
      </c>
      <c r="K20" s="74">
        <v>38.929</v>
      </c>
      <c r="L20" s="94">
        <f aca="true" t="shared" si="5" ref="L20:N22">G20/B20*1000</f>
        <v>962.2641509433962</v>
      </c>
      <c r="M20" s="94">
        <f t="shared" si="5"/>
        <v>1350.7109004739336</v>
      </c>
      <c r="N20" s="94">
        <f t="shared" si="5"/>
        <v>1285.15625</v>
      </c>
      <c r="O20" s="94">
        <f t="shared" si="1"/>
        <v>1013.0081300813008</v>
      </c>
      <c r="P20" s="94">
        <f t="shared" si="1"/>
        <v>1113.8164859374554</v>
      </c>
    </row>
    <row r="21" spans="1:16" ht="30" customHeight="1">
      <c r="A21" s="2" t="s">
        <v>53</v>
      </c>
      <c r="B21" s="74">
        <v>0</v>
      </c>
      <c r="C21" s="74">
        <v>0</v>
      </c>
      <c r="D21" s="74">
        <v>0</v>
      </c>
      <c r="E21" s="74">
        <v>0</v>
      </c>
      <c r="F21" s="74">
        <v>0.15</v>
      </c>
      <c r="G21" s="74">
        <v>0</v>
      </c>
      <c r="H21" s="74">
        <v>0</v>
      </c>
      <c r="I21" s="74">
        <v>0</v>
      </c>
      <c r="J21" s="74">
        <v>0</v>
      </c>
      <c r="K21" s="74">
        <v>0.105</v>
      </c>
      <c r="L21" s="94">
        <v>0</v>
      </c>
      <c r="M21" s="94">
        <v>0</v>
      </c>
      <c r="N21" s="94">
        <v>0</v>
      </c>
      <c r="O21" s="94">
        <v>0</v>
      </c>
      <c r="P21" s="94">
        <f t="shared" si="1"/>
        <v>700</v>
      </c>
    </row>
    <row r="22" spans="1:16" ht="30" customHeight="1">
      <c r="A22" s="2" t="s">
        <v>22</v>
      </c>
      <c r="B22" s="74">
        <v>30</v>
      </c>
      <c r="C22" s="74">
        <v>26</v>
      </c>
      <c r="D22" s="74">
        <v>25</v>
      </c>
      <c r="E22" s="74">
        <v>17</v>
      </c>
      <c r="F22" s="74">
        <v>32</v>
      </c>
      <c r="G22" s="74">
        <v>13</v>
      </c>
      <c r="H22" s="74">
        <v>10</v>
      </c>
      <c r="I22" s="74">
        <v>15</v>
      </c>
      <c r="J22" s="74">
        <v>7.82</v>
      </c>
      <c r="K22" s="74">
        <v>17</v>
      </c>
      <c r="L22" s="94">
        <f t="shared" si="5"/>
        <v>433.33333333333337</v>
      </c>
      <c r="M22" s="94">
        <f t="shared" si="5"/>
        <v>384.61538461538464</v>
      </c>
      <c r="N22" s="94">
        <f t="shared" si="5"/>
        <v>600</v>
      </c>
      <c r="O22" s="94">
        <f t="shared" si="1"/>
        <v>460</v>
      </c>
      <c r="P22" s="94">
        <f t="shared" si="1"/>
        <v>531.25</v>
      </c>
    </row>
    <row r="23" spans="1:16" ht="30" customHeight="1">
      <c r="A23" s="24" t="s">
        <v>86</v>
      </c>
      <c r="B23" s="74">
        <v>0.49</v>
      </c>
      <c r="C23" s="74">
        <v>0</v>
      </c>
      <c r="D23" s="74">
        <v>0</v>
      </c>
      <c r="E23" s="74">
        <v>0</v>
      </c>
      <c r="F23" s="74">
        <v>0</v>
      </c>
      <c r="G23" s="74">
        <v>0.23</v>
      </c>
      <c r="H23" s="74">
        <v>0</v>
      </c>
      <c r="I23" s="74">
        <v>0</v>
      </c>
      <c r="J23" s="74">
        <v>0</v>
      </c>
      <c r="K23" s="74">
        <v>0</v>
      </c>
      <c r="L23" s="94">
        <f aca="true" t="shared" si="6" ref="L23:N25">G23/B23*1000</f>
        <v>469.38775510204084</v>
      </c>
      <c r="M23" s="94">
        <v>0</v>
      </c>
      <c r="N23" s="94">
        <v>0</v>
      </c>
      <c r="O23" s="94">
        <v>0</v>
      </c>
      <c r="P23" s="94">
        <v>0</v>
      </c>
    </row>
    <row r="24" spans="1:16" ht="30" customHeight="1">
      <c r="A24" s="2" t="s">
        <v>23</v>
      </c>
      <c r="B24" s="74">
        <v>3.84</v>
      </c>
      <c r="C24" s="74">
        <v>10</v>
      </c>
      <c r="D24" s="74">
        <v>5.3</v>
      </c>
      <c r="E24" s="74">
        <v>6.191</v>
      </c>
      <c r="F24" s="74">
        <v>6.605</v>
      </c>
      <c r="G24" s="74">
        <v>1.34</v>
      </c>
      <c r="H24" s="74">
        <v>2</v>
      </c>
      <c r="I24" s="74">
        <v>1.93</v>
      </c>
      <c r="J24" s="74">
        <v>2.4</v>
      </c>
      <c r="K24" s="74">
        <v>2.447</v>
      </c>
      <c r="L24" s="94">
        <f t="shared" si="6"/>
        <v>348.95833333333337</v>
      </c>
      <c r="M24" s="94">
        <f t="shared" si="6"/>
        <v>200</v>
      </c>
      <c r="N24" s="94">
        <f t="shared" si="6"/>
        <v>364.1509433962264</v>
      </c>
      <c r="O24" s="94">
        <f t="shared" si="1"/>
        <v>387.65950573413016</v>
      </c>
      <c r="P24" s="94">
        <f t="shared" si="1"/>
        <v>370.4769114307343</v>
      </c>
    </row>
    <row r="25" spans="1:16" s="25" customFormat="1" ht="30" customHeight="1">
      <c r="A25" s="63" t="s">
        <v>69</v>
      </c>
      <c r="B25" s="75">
        <f aca="true" t="shared" si="7" ref="B25:K25">SUM(B4:B24)</f>
        <v>296.265</v>
      </c>
      <c r="C25" s="75">
        <f t="shared" si="7"/>
        <v>293.067</v>
      </c>
      <c r="D25" s="75">
        <f t="shared" si="7"/>
        <v>285.47</v>
      </c>
      <c r="E25" s="75">
        <f t="shared" si="7"/>
        <v>262.859</v>
      </c>
      <c r="F25" s="75">
        <f t="shared" si="7"/>
        <v>325.216</v>
      </c>
      <c r="G25" s="75">
        <f t="shared" si="7"/>
        <v>148.587</v>
      </c>
      <c r="H25" s="75">
        <f t="shared" si="7"/>
        <v>141.73</v>
      </c>
      <c r="I25" s="75">
        <f t="shared" si="7"/>
        <v>154.57</v>
      </c>
      <c r="J25" s="75">
        <f t="shared" si="7"/>
        <v>125.494392</v>
      </c>
      <c r="K25" s="75">
        <f t="shared" si="7"/>
        <v>184.25</v>
      </c>
      <c r="L25" s="136">
        <f t="shared" si="6"/>
        <v>501.5340995392639</v>
      </c>
      <c r="M25" s="136">
        <f t="shared" si="6"/>
        <v>483.6095500346337</v>
      </c>
      <c r="N25" s="136">
        <f t="shared" si="6"/>
        <v>541.4579465442953</v>
      </c>
      <c r="O25" s="136">
        <f t="shared" si="1"/>
        <v>477.4209443085457</v>
      </c>
      <c r="P25" s="136">
        <f t="shared" si="1"/>
        <v>566.546541375578</v>
      </c>
    </row>
    <row r="26" ht="15">
      <c r="A26" s="58"/>
    </row>
    <row r="27" spans="2:11" ht="15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 ht="15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</sheetData>
  <sheetProtection/>
  <mergeCells count="5">
    <mergeCell ref="B2:F2"/>
    <mergeCell ref="A2:A3"/>
    <mergeCell ref="L2:P2"/>
    <mergeCell ref="G2:K2"/>
    <mergeCell ref="A1:P1"/>
  </mergeCells>
  <printOptions horizontalCentered="1"/>
  <pageMargins left="0.5118110236220472" right="0.5118110236220472" top="0.7480314960629921" bottom="0" header="0.5118110236220472" footer="0.5118110236220472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view="pageBreakPreview" zoomScale="55" zoomScaleNormal="60" zoomScaleSheetLayoutView="55" zoomScalePageLayoutView="0" workbookViewId="0" topLeftCell="A1">
      <pane xSplit="1" ySplit="3" topLeftCell="B4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M5" sqref="M5"/>
    </sheetView>
  </sheetViews>
  <sheetFormatPr defaultColWidth="9.140625" defaultRowHeight="12.75"/>
  <cols>
    <col min="1" max="1" width="20.421875" style="3" customWidth="1"/>
    <col min="2" max="4" width="12.57421875" style="3" customWidth="1"/>
    <col min="5" max="6" width="12.57421875" style="15" customWidth="1"/>
    <col min="7" max="9" width="12.57421875" style="3" customWidth="1"/>
    <col min="10" max="11" width="12.57421875" style="15" customWidth="1"/>
    <col min="12" max="17" width="12.57421875" style="3" customWidth="1"/>
    <col min="18" max="16384" width="9.140625" style="3" customWidth="1"/>
  </cols>
  <sheetData>
    <row r="1" spans="1:16" ht="29.25" customHeight="1">
      <c r="A1" s="204" t="s">
        <v>132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33.75" customHeight="1">
      <c r="A2" s="203" t="s">
        <v>0</v>
      </c>
      <c r="B2" s="185" t="s">
        <v>81</v>
      </c>
      <c r="C2" s="186"/>
      <c r="D2" s="186"/>
      <c r="E2" s="186"/>
      <c r="F2" s="187"/>
      <c r="G2" s="185" t="s">
        <v>82</v>
      </c>
      <c r="H2" s="186"/>
      <c r="I2" s="186"/>
      <c r="J2" s="186"/>
      <c r="K2" s="187"/>
      <c r="L2" s="184" t="s">
        <v>79</v>
      </c>
      <c r="M2" s="184"/>
      <c r="N2" s="184"/>
      <c r="O2" s="184"/>
      <c r="P2" s="184"/>
    </row>
    <row r="3" spans="1:16" s="15" customFormat="1" ht="42.75" customHeight="1">
      <c r="A3" s="203"/>
      <c r="B3" s="133" t="s">
        <v>112</v>
      </c>
      <c r="C3" s="133" t="s">
        <v>113</v>
      </c>
      <c r="D3" s="133" t="s">
        <v>115</v>
      </c>
      <c r="E3" s="133" t="s">
        <v>121</v>
      </c>
      <c r="F3" s="133" t="s">
        <v>122</v>
      </c>
      <c r="G3" s="133" t="s">
        <v>112</v>
      </c>
      <c r="H3" s="133" t="s">
        <v>113</v>
      </c>
      <c r="I3" s="133" t="s">
        <v>115</v>
      </c>
      <c r="J3" s="133" t="s">
        <v>121</v>
      </c>
      <c r="K3" s="133" t="s">
        <v>122</v>
      </c>
      <c r="L3" s="133" t="s">
        <v>112</v>
      </c>
      <c r="M3" s="133" t="s">
        <v>113</v>
      </c>
      <c r="N3" s="133" t="s">
        <v>115</v>
      </c>
      <c r="O3" s="133" t="s">
        <v>121</v>
      </c>
      <c r="P3" s="133" t="s">
        <v>122</v>
      </c>
    </row>
    <row r="4" spans="1:16" ht="45" customHeight="1">
      <c r="A4" s="2" t="s">
        <v>1</v>
      </c>
      <c r="B4" s="73">
        <v>0</v>
      </c>
      <c r="C4" s="73">
        <v>8</v>
      </c>
      <c r="D4" s="73">
        <v>1</v>
      </c>
      <c r="E4" s="74">
        <v>0</v>
      </c>
      <c r="F4" s="74">
        <v>0</v>
      </c>
      <c r="G4" s="73">
        <v>0</v>
      </c>
      <c r="H4" s="73">
        <v>6</v>
      </c>
      <c r="I4" s="73">
        <v>1</v>
      </c>
      <c r="J4" s="74">
        <v>0</v>
      </c>
      <c r="K4" s="74">
        <v>0</v>
      </c>
      <c r="L4" s="98">
        <v>0</v>
      </c>
      <c r="M4" s="98">
        <f>H4/C4*1000</f>
        <v>750</v>
      </c>
      <c r="N4" s="98">
        <f>I4/D4*1000</f>
        <v>1000</v>
      </c>
      <c r="O4" s="98">
        <v>0</v>
      </c>
      <c r="P4" s="98">
        <v>0</v>
      </c>
    </row>
    <row r="5" spans="1:16" ht="45" customHeight="1">
      <c r="A5" s="2" t="s">
        <v>33</v>
      </c>
      <c r="B5" s="74">
        <v>0</v>
      </c>
      <c r="C5" s="74">
        <v>0</v>
      </c>
      <c r="D5" s="73">
        <v>0.15</v>
      </c>
      <c r="E5" s="74">
        <v>0</v>
      </c>
      <c r="F5" s="73">
        <v>0.285</v>
      </c>
      <c r="G5" s="74">
        <v>0</v>
      </c>
      <c r="H5" s="74">
        <v>0</v>
      </c>
      <c r="I5" s="73">
        <v>0.08</v>
      </c>
      <c r="J5" s="74">
        <v>0</v>
      </c>
      <c r="K5" s="73">
        <v>0.28</v>
      </c>
      <c r="L5" s="98">
        <v>0</v>
      </c>
      <c r="M5" s="98">
        <v>0</v>
      </c>
      <c r="N5" s="98">
        <f aca="true" t="shared" si="0" ref="N5:N17">I5/D5*1000</f>
        <v>533.3333333333334</v>
      </c>
      <c r="O5" s="98">
        <v>0</v>
      </c>
      <c r="P5" s="98">
        <f aca="true" t="shared" si="1" ref="P5:P17">K5/F5*1000</f>
        <v>982.4561403508774</v>
      </c>
    </row>
    <row r="6" spans="1:16" ht="45" customHeight="1">
      <c r="A6" s="2" t="s">
        <v>47</v>
      </c>
      <c r="B6" s="73">
        <v>0.1</v>
      </c>
      <c r="C6" s="73">
        <v>1.64</v>
      </c>
      <c r="D6" s="73">
        <v>0.1</v>
      </c>
      <c r="E6" s="73">
        <v>0.106</v>
      </c>
      <c r="F6" s="73">
        <v>0.107</v>
      </c>
      <c r="G6" s="73">
        <v>0.08</v>
      </c>
      <c r="H6" s="73">
        <v>1.32</v>
      </c>
      <c r="I6" s="73">
        <v>0.08</v>
      </c>
      <c r="J6" s="73">
        <v>0.085</v>
      </c>
      <c r="K6" s="73">
        <v>0.087</v>
      </c>
      <c r="L6" s="98">
        <f aca="true" t="shared" si="2" ref="L6:L17">G6/B6*1000</f>
        <v>799.9999999999999</v>
      </c>
      <c r="M6" s="98">
        <f aca="true" t="shared" si="3" ref="M6:M17">H6/C6*1000</f>
        <v>804.8780487804878</v>
      </c>
      <c r="N6" s="98">
        <f t="shared" si="0"/>
        <v>799.9999999999999</v>
      </c>
      <c r="O6" s="98">
        <f>J6/E6*1000</f>
        <v>801.8867924528303</v>
      </c>
      <c r="P6" s="98">
        <f t="shared" si="1"/>
        <v>813.0841121495326</v>
      </c>
    </row>
    <row r="7" spans="1:16" ht="45" customHeight="1">
      <c r="A7" s="2" t="s">
        <v>6</v>
      </c>
      <c r="B7" s="73">
        <v>0.5</v>
      </c>
      <c r="C7" s="73">
        <v>0.6</v>
      </c>
      <c r="D7" s="73">
        <v>0.5</v>
      </c>
      <c r="E7" s="73">
        <v>1</v>
      </c>
      <c r="F7" s="73">
        <v>0.7</v>
      </c>
      <c r="G7" s="73">
        <v>0.1</v>
      </c>
      <c r="H7" s="73">
        <v>0.2</v>
      </c>
      <c r="I7" s="73">
        <v>0.1</v>
      </c>
      <c r="J7" s="73">
        <v>0.3</v>
      </c>
      <c r="K7" s="73">
        <v>0.2</v>
      </c>
      <c r="L7" s="98">
        <f t="shared" si="2"/>
        <v>200</v>
      </c>
      <c r="M7" s="98">
        <f t="shared" si="3"/>
        <v>333.33333333333337</v>
      </c>
      <c r="N7" s="98">
        <f t="shared" si="0"/>
        <v>200</v>
      </c>
      <c r="O7" s="98">
        <f aca="true" t="shared" si="4" ref="O7:O17">J7/E7*1000</f>
        <v>300</v>
      </c>
      <c r="P7" s="98">
        <f t="shared" si="1"/>
        <v>285.7142857142858</v>
      </c>
    </row>
    <row r="8" spans="1:16" ht="45" customHeight="1">
      <c r="A8" s="2" t="s">
        <v>8</v>
      </c>
      <c r="B8" s="73">
        <v>17</v>
      </c>
      <c r="C8" s="73">
        <v>15</v>
      </c>
      <c r="D8" s="74">
        <v>0</v>
      </c>
      <c r="E8" s="74">
        <v>0</v>
      </c>
      <c r="F8" s="74">
        <v>0</v>
      </c>
      <c r="G8" s="73">
        <v>10</v>
      </c>
      <c r="H8" s="73">
        <v>9</v>
      </c>
      <c r="I8" s="74">
        <v>0</v>
      </c>
      <c r="J8" s="74">
        <v>0</v>
      </c>
      <c r="K8" s="74">
        <v>0</v>
      </c>
      <c r="L8" s="98">
        <f t="shared" si="2"/>
        <v>588.2352941176471</v>
      </c>
      <c r="M8" s="98">
        <f t="shared" si="3"/>
        <v>600</v>
      </c>
      <c r="N8" s="98">
        <v>0</v>
      </c>
      <c r="O8" s="98">
        <v>0</v>
      </c>
      <c r="P8" s="98">
        <v>0</v>
      </c>
    </row>
    <row r="9" spans="1:16" ht="45" customHeight="1">
      <c r="A9" s="2" t="s">
        <v>51</v>
      </c>
      <c r="B9" s="73">
        <v>0.46</v>
      </c>
      <c r="C9" s="73">
        <v>0.413</v>
      </c>
      <c r="D9" s="73">
        <v>0.58</v>
      </c>
      <c r="E9" s="74">
        <v>0</v>
      </c>
      <c r="F9" s="73">
        <v>0.534</v>
      </c>
      <c r="G9" s="73">
        <v>0.23</v>
      </c>
      <c r="H9" s="73">
        <v>0.216</v>
      </c>
      <c r="I9" s="73">
        <v>0.46</v>
      </c>
      <c r="J9" s="74">
        <v>0</v>
      </c>
      <c r="K9" s="73">
        <v>0.28</v>
      </c>
      <c r="L9" s="98">
        <f t="shared" si="2"/>
        <v>500</v>
      </c>
      <c r="M9" s="98">
        <f t="shared" si="3"/>
        <v>523.0024213075061</v>
      </c>
      <c r="N9" s="98">
        <f t="shared" si="0"/>
        <v>793.1034482758622</v>
      </c>
      <c r="O9" s="98">
        <v>0</v>
      </c>
      <c r="P9" s="98">
        <f t="shared" si="1"/>
        <v>524.3445692883896</v>
      </c>
    </row>
    <row r="10" spans="1:16" ht="45" customHeight="1">
      <c r="A10" s="2" t="s">
        <v>11</v>
      </c>
      <c r="B10" s="73">
        <v>48</v>
      </c>
      <c r="C10" s="73">
        <v>43</v>
      </c>
      <c r="D10" s="73">
        <v>33</v>
      </c>
      <c r="E10" s="73">
        <v>54</v>
      </c>
      <c r="F10" s="73">
        <v>32</v>
      </c>
      <c r="G10" s="73">
        <v>30</v>
      </c>
      <c r="H10" s="73">
        <v>34</v>
      </c>
      <c r="I10" s="73">
        <v>27</v>
      </c>
      <c r="J10" s="73">
        <v>30.375</v>
      </c>
      <c r="K10" s="73">
        <v>22</v>
      </c>
      <c r="L10" s="98">
        <f t="shared" si="2"/>
        <v>625</v>
      </c>
      <c r="M10" s="98">
        <f t="shared" si="3"/>
        <v>790.6976744186046</v>
      </c>
      <c r="N10" s="98">
        <f t="shared" si="0"/>
        <v>818.1818181818182</v>
      </c>
      <c r="O10" s="98">
        <f t="shared" si="4"/>
        <v>562.5</v>
      </c>
      <c r="P10" s="98">
        <f t="shared" si="1"/>
        <v>687.5</v>
      </c>
    </row>
    <row r="11" spans="1:16" ht="45" customHeight="1">
      <c r="A11" s="2" t="s">
        <v>13</v>
      </c>
      <c r="B11" s="73">
        <v>0.1</v>
      </c>
      <c r="C11" s="73">
        <v>0.2</v>
      </c>
      <c r="D11" s="73">
        <v>29</v>
      </c>
      <c r="E11" s="73">
        <v>10</v>
      </c>
      <c r="F11" s="73">
        <v>30</v>
      </c>
      <c r="G11" s="73">
        <v>0</v>
      </c>
      <c r="H11" s="73">
        <v>0.1</v>
      </c>
      <c r="I11" s="73">
        <v>21</v>
      </c>
      <c r="J11" s="73">
        <v>5</v>
      </c>
      <c r="K11" s="73">
        <v>15</v>
      </c>
      <c r="L11" s="98">
        <f t="shared" si="2"/>
        <v>0</v>
      </c>
      <c r="M11" s="98">
        <f t="shared" si="3"/>
        <v>500</v>
      </c>
      <c r="N11" s="98">
        <f t="shared" si="0"/>
        <v>724.1379310344828</v>
      </c>
      <c r="O11" s="98">
        <f t="shared" si="4"/>
        <v>500</v>
      </c>
      <c r="P11" s="98">
        <f t="shared" si="1"/>
        <v>500</v>
      </c>
    </row>
    <row r="12" spans="1:16" ht="45" customHeight="1">
      <c r="A12" s="10" t="s">
        <v>14</v>
      </c>
      <c r="B12" s="84">
        <v>105</v>
      </c>
      <c r="C12" s="84">
        <v>107</v>
      </c>
      <c r="D12" s="84">
        <v>105</v>
      </c>
      <c r="E12" s="73">
        <v>57</v>
      </c>
      <c r="F12" s="73">
        <v>75.8</v>
      </c>
      <c r="G12" s="84">
        <v>58</v>
      </c>
      <c r="H12" s="84">
        <v>61</v>
      </c>
      <c r="I12" s="84">
        <v>36</v>
      </c>
      <c r="J12" s="73">
        <v>13</v>
      </c>
      <c r="K12" s="73">
        <v>52.4</v>
      </c>
      <c r="L12" s="98">
        <f t="shared" si="2"/>
        <v>552.3809523809524</v>
      </c>
      <c r="M12" s="98">
        <f t="shared" si="3"/>
        <v>570.0934579439252</v>
      </c>
      <c r="N12" s="98">
        <f t="shared" si="0"/>
        <v>342.85714285714283</v>
      </c>
      <c r="O12" s="98">
        <f t="shared" si="4"/>
        <v>228.07017543859646</v>
      </c>
      <c r="P12" s="98">
        <f t="shared" si="1"/>
        <v>691.2928759894459</v>
      </c>
    </row>
    <row r="13" spans="1:16" ht="45" customHeight="1">
      <c r="A13" s="2" t="s">
        <v>111</v>
      </c>
      <c r="B13" s="73">
        <v>0.849</v>
      </c>
      <c r="C13" s="73">
        <v>0.88</v>
      </c>
      <c r="D13" s="73">
        <v>0.61</v>
      </c>
      <c r="E13" s="73">
        <v>0.39</v>
      </c>
      <c r="F13" s="73">
        <v>0.35</v>
      </c>
      <c r="G13" s="73">
        <v>0.52</v>
      </c>
      <c r="H13" s="73">
        <v>0.53</v>
      </c>
      <c r="I13" s="73">
        <v>0.4</v>
      </c>
      <c r="J13" s="73">
        <v>0.23</v>
      </c>
      <c r="K13" s="73">
        <v>0.21</v>
      </c>
      <c r="L13" s="98">
        <f t="shared" si="2"/>
        <v>612.4852767962309</v>
      </c>
      <c r="M13" s="98">
        <f t="shared" si="3"/>
        <v>602.2727272727273</v>
      </c>
      <c r="N13" s="98">
        <f t="shared" si="0"/>
        <v>655.7377049180328</v>
      </c>
      <c r="O13" s="98">
        <f t="shared" si="4"/>
        <v>589.7435897435897</v>
      </c>
      <c r="P13" s="98">
        <f t="shared" si="1"/>
        <v>600</v>
      </c>
    </row>
    <row r="14" spans="1:16" ht="45" customHeight="1" hidden="1">
      <c r="A14" s="2" t="s">
        <v>22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98" t="e">
        <f t="shared" si="2"/>
        <v>#DIV/0!</v>
      </c>
      <c r="M14" s="98" t="e">
        <f t="shared" si="3"/>
        <v>#DIV/0!</v>
      </c>
      <c r="N14" s="98" t="e">
        <f t="shared" si="0"/>
        <v>#DIV/0!</v>
      </c>
      <c r="O14" s="98" t="e">
        <f t="shared" si="4"/>
        <v>#DIV/0!</v>
      </c>
      <c r="P14" s="98" t="e">
        <f t="shared" si="1"/>
        <v>#DIV/0!</v>
      </c>
    </row>
    <row r="15" spans="1:16" ht="45" customHeight="1">
      <c r="A15" s="2" t="s">
        <v>116</v>
      </c>
      <c r="B15" s="73">
        <v>11</v>
      </c>
      <c r="C15" s="73">
        <v>0</v>
      </c>
      <c r="D15" s="73">
        <v>4</v>
      </c>
      <c r="E15" s="73">
        <v>4</v>
      </c>
      <c r="F15" s="73">
        <v>4</v>
      </c>
      <c r="G15" s="73">
        <v>9.08</v>
      </c>
      <c r="H15" s="73">
        <v>0</v>
      </c>
      <c r="I15" s="73">
        <v>3</v>
      </c>
      <c r="J15" s="73">
        <v>3</v>
      </c>
      <c r="K15" s="73">
        <v>3</v>
      </c>
      <c r="L15" s="98">
        <f t="shared" si="2"/>
        <v>825.4545454545455</v>
      </c>
      <c r="M15" s="98">
        <v>0</v>
      </c>
      <c r="N15" s="98">
        <f t="shared" si="0"/>
        <v>750</v>
      </c>
      <c r="O15" s="98">
        <f t="shared" si="4"/>
        <v>750</v>
      </c>
      <c r="P15" s="98">
        <f t="shared" si="1"/>
        <v>750</v>
      </c>
    </row>
    <row r="16" spans="1:16" ht="45" customHeight="1">
      <c r="A16" s="2" t="s">
        <v>23</v>
      </c>
      <c r="B16" s="73">
        <v>0.5</v>
      </c>
      <c r="C16" s="73">
        <v>1</v>
      </c>
      <c r="D16" s="73">
        <v>1</v>
      </c>
      <c r="E16" s="73">
        <v>1</v>
      </c>
      <c r="F16" s="73">
        <v>0.498</v>
      </c>
      <c r="G16" s="73">
        <v>0.5</v>
      </c>
      <c r="H16" s="73">
        <v>1</v>
      </c>
      <c r="I16" s="73">
        <v>1</v>
      </c>
      <c r="J16" s="73">
        <v>1</v>
      </c>
      <c r="K16" s="73">
        <v>0.439</v>
      </c>
      <c r="L16" s="98">
        <f t="shared" si="2"/>
        <v>1000</v>
      </c>
      <c r="M16" s="98">
        <f t="shared" si="3"/>
        <v>1000</v>
      </c>
      <c r="N16" s="98">
        <f t="shared" si="0"/>
        <v>1000</v>
      </c>
      <c r="O16" s="98">
        <f t="shared" si="4"/>
        <v>1000</v>
      </c>
      <c r="P16" s="98">
        <f t="shared" si="1"/>
        <v>881.5261044176707</v>
      </c>
    </row>
    <row r="17" spans="1:16" s="25" customFormat="1" ht="45" customHeight="1">
      <c r="A17" s="63" t="s">
        <v>70</v>
      </c>
      <c r="B17" s="129">
        <f aca="true" t="shared" si="5" ref="B17:K17">SUM(B4:B16)</f>
        <v>183.509</v>
      </c>
      <c r="C17" s="129">
        <f t="shared" si="5"/>
        <v>177.733</v>
      </c>
      <c r="D17" s="129">
        <f t="shared" si="5"/>
        <v>174.94</v>
      </c>
      <c r="E17" s="129">
        <f t="shared" si="5"/>
        <v>127.496</v>
      </c>
      <c r="F17" s="129">
        <f t="shared" si="5"/>
        <v>144.27399999999997</v>
      </c>
      <c r="G17" s="129">
        <f t="shared" si="5"/>
        <v>108.50999999999999</v>
      </c>
      <c r="H17" s="129">
        <f t="shared" si="5"/>
        <v>113.36600000000001</v>
      </c>
      <c r="I17" s="129">
        <f t="shared" si="5"/>
        <v>90.12</v>
      </c>
      <c r="J17" s="129">
        <f t="shared" si="5"/>
        <v>52.99</v>
      </c>
      <c r="K17" s="129">
        <f t="shared" si="5"/>
        <v>93.89599999999999</v>
      </c>
      <c r="L17" s="144">
        <f t="shared" si="2"/>
        <v>591.3061484722821</v>
      </c>
      <c r="M17" s="144">
        <f t="shared" si="3"/>
        <v>637.8444070600283</v>
      </c>
      <c r="N17" s="144">
        <f t="shared" si="0"/>
        <v>515.1480507602607</v>
      </c>
      <c r="O17" s="144">
        <f t="shared" si="4"/>
        <v>415.6208822237561</v>
      </c>
      <c r="P17" s="144">
        <f t="shared" si="1"/>
        <v>650.8171950594009</v>
      </c>
    </row>
    <row r="18" spans="1:11" ht="32.25" customHeight="1">
      <c r="A18" s="58"/>
      <c r="B18" s="14"/>
      <c r="C18" s="14"/>
      <c r="D18" s="14"/>
      <c r="E18" s="69"/>
      <c r="F18" s="69"/>
      <c r="G18" s="14"/>
      <c r="H18" s="14"/>
      <c r="I18" s="14"/>
      <c r="J18" s="69"/>
      <c r="K18" s="69"/>
    </row>
    <row r="19" spans="2:11" ht="15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 ht="15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</sheetData>
  <sheetProtection/>
  <mergeCells count="5">
    <mergeCell ref="B2:F2"/>
    <mergeCell ref="A2:A3"/>
    <mergeCell ref="L2:P2"/>
    <mergeCell ref="G2:K2"/>
    <mergeCell ref="A1:P1"/>
  </mergeCells>
  <printOptions horizontalCentered="1" verticalCentered="1"/>
  <pageMargins left="0.511811023622047" right="0.511811023622047" top="0.984251968503937" bottom="0" header="0.511811023622047" footer="0.511811023622047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BT109"/>
  <sheetViews>
    <sheetView view="pageBreakPreview" zoomScale="55" zoomScaleNormal="60" zoomScaleSheetLayoutView="55" zoomScalePageLayoutView="0" workbookViewId="0" topLeftCell="A13">
      <selection activeCell="C43" sqref="C43"/>
    </sheetView>
  </sheetViews>
  <sheetFormatPr defaultColWidth="9.140625" defaultRowHeight="29.25" customHeight="1"/>
  <cols>
    <col min="1" max="1" width="29.00390625" style="1" customWidth="1"/>
    <col min="2" max="2" width="18.8515625" style="1" bestFit="1" customWidth="1"/>
    <col min="3" max="10" width="11.140625" style="3" customWidth="1"/>
    <col min="11" max="11" width="11.8515625" style="3" bestFit="1" customWidth="1"/>
    <col min="12" max="12" width="11.8515625" style="3" customWidth="1"/>
    <col min="13" max="13" width="12.140625" style="3" customWidth="1"/>
    <col min="14" max="14" width="10.57421875" style="3" bestFit="1" customWidth="1"/>
    <col min="15" max="15" width="12.28125" style="3" customWidth="1"/>
    <col min="16" max="17" width="10.421875" style="3" customWidth="1"/>
    <col min="18" max="72" width="9.140625" style="3" customWidth="1"/>
    <col min="73" max="16384" width="9.140625" style="1" customWidth="1"/>
  </cols>
  <sheetData>
    <row r="1" spans="1:72" ht="33" customHeight="1">
      <c r="A1" s="212" t="s">
        <v>134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21.75" customHeight="1">
      <c r="A2" s="184" t="s">
        <v>78</v>
      </c>
      <c r="B2" s="207" t="s">
        <v>80</v>
      </c>
      <c r="C2" s="185" t="s">
        <v>81</v>
      </c>
      <c r="D2" s="186"/>
      <c r="E2" s="186"/>
      <c r="F2" s="186"/>
      <c r="G2" s="187"/>
      <c r="H2" s="185" t="s">
        <v>82</v>
      </c>
      <c r="I2" s="186"/>
      <c r="J2" s="186"/>
      <c r="K2" s="186"/>
      <c r="L2" s="187"/>
      <c r="M2" s="184" t="s">
        <v>79</v>
      </c>
      <c r="N2" s="184"/>
      <c r="O2" s="184"/>
      <c r="P2" s="184"/>
      <c r="Q2" s="18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24" customHeight="1">
      <c r="A3" s="184"/>
      <c r="B3" s="208"/>
      <c r="C3" s="133" t="s">
        <v>112</v>
      </c>
      <c r="D3" s="133" t="s">
        <v>113</v>
      </c>
      <c r="E3" s="126" t="s">
        <v>115</v>
      </c>
      <c r="F3" s="126" t="s">
        <v>121</v>
      </c>
      <c r="G3" s="126" t="s">
        <v>122</v>
      </c>
      <c r="H3" s="133" t="s">
        <v>112</v>
      </c>
      <c r="I3" s="133" t="s">
        <v>113</v>
      </c>
      <c r="J3" s="126" t="s">
        <v>115</v>
      </c>
      <c r="K3" s="126" t="s">
        <v>121</v>
      </c>
      <c r="L3" s="126" t="s">
        <v>122</v>
      </c>
      <c r="M3" s="133" t="s">
        <v>112</v>
      </c>
      <c r="N3" s="126" t="s">
        <v>113</v>
      </c>
      <c r="O3" s="126" t="s">
        <v>115</v>
      </c>
      <c r="P3" s="126" t="s">
        <v>121</v>
      </c>
      <c r="Q3" s="126" t="s">
        <v>122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1" customHeight="1">
      <c r="A4" s="209" t="s">
        <v>1</v>
      </c>
      <c r="B4" s="28" t="s">
        <v>2</v>
      </c>
      <c r="C4" s="73">
        <v>17</v>
      </c>
      <c r="D4" s="73">
        <v>17.98</v>
      </c>
      <c r="E4" s="73">
        <v>11</v>
      </c>
      <c r="F4" s="73">
        <v>7</v>
      </c>
      <c r="G4" s="73">
        <v>9</v>
      </c>
      <c r="H4" s="73">
        <v>13</v>
      </c>
      <c r="I4" s="73">
        <v>14</v>
      </c>
      <c r="J4" s="73">
        <v>6</v>
      </c>
      <c r="K4" s="73">
        <v>5</v>
      </c>
      <c r="L4" s="73">
        <v>6</v>
      </c>
      <c r="M4" s="98">
        <f aca="true" t="shared" si="0" ref="M4:M20">H4/C4*1000</f>
        <v>764.7058823529411</v>
      </c>
      <c r="N4" s="98">
        <f aca="true" t="shared" si="1" ref="N4:N20">I4/D4*1000</f>
        <v>778.642936596218</v>
      </c>
      <c r="O4" s="98">
        <f aca="true" t="shared" si="2" ref="O4:O20">J4/E4*1000</f>
        <v>545.4545454545454</v>
      </c>
      <c r="P4" s="98">
        <f aca="true" t="shared" si="3" ref="P4:Q20">K4/F4*1000</f>
        <v>714.2857142857143</v>
      </c>
      <c r="Q4" s="98">
        <f t="shared" si="3"/>
        <v>666.6666666666666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21" customHeight="1">
      <c r="A5" s="210"/>
      <c r="B5" s="28" t="s">
        <v>3</v>
      </c>
      <c r="C5" s="73">
        <v>97</v>
      </c>
      <c r="D5" s="73">
        <v>62.02</v>
      </c>
      <c r="E5" s="73">
        <v>39</v>
      </c>
      <c r="F5" s="73">
        <v>20</v>
      </c>
      <c r="G5" s="73">
        <v>12</v>
      </c>
      <c r="H5" s="73">
        <v>59</v>
      </c>
      <c r="I5" s="73">
        <v>53.98</v>
      </c>
      <c r="J5" s="73">
        <v>34</v>
      </c>
      <c r="K5" s="73">
        <v>18</v>
      </c>
      <c r="L5" s="73">
        <v>15</v>
      </c>
      <c r="M5" s="98">
        <f t="shared" si="0"/>
        <v>608.2474226804123</v>
      </c>
      <c r="N5" s="98">
        <f t="shared" si="1"/>
        <v>870.3643985811028</v>
      </c>
      <c r="O5" s="98">
        <f t="shared" si="2"/>
        <v>871.7948717948718</v>
      </c>
      <c r="P5" s="98">
        <f t="shared" si="3"/>
        <v>900</v>
      </c>
      <c r="Q5" s="98">
        <f t="shared" si="3"/>
        <v>1250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17" s="145" customFormat="1" ht="21" customHeight="1">
      <c r="A6" s="210"/>
      <c r="B6" s="149" t="s">
        <v>4</v>
      </c>
      <c r="C6" s="129">
        <f aca="true" t="shared" si="4" ref="C6:L6">C5+C4</f>
        <v>114</v>
      </c>
      <c r="D6" s="129">
        <f t="shared" si="4"/>
        <v>80</v>
      </c>
      <c r="E6" s="129">
        <f t="shared" si="4"/>
        <v>50</v>
      </c>
      <c r="F6" s="129">
        <f t="shared" si="4"/>
        <v>27</v>
      </c>
      <c r="G6" s="129">
        <f t="shared" si="4"/>
        <v>21</v>
      </c>
      <c r="H6" s="129">
        <f t="shared" si="4"/>
        <v>72</v>
      </c>
      <c r="I6" s="129">
        <f t="shared" si="4"/>
        <v>67.97999999999999</v>
      </c>
      <c r="J6" s="129">
        <f t="shared" si="4"/>
        <v>40</v>
      </c>
      <c r="K6" s="129">
        <f t="shared" si="4"/>
        <v>23</v>
      </c>
      <c r="L6" s="129">
        <f t="shared" si="4"/>
        <v>21</v>
      </c>
      <c r="M6" s="144">
        <f t="shared" si="0"/>
        <v>631.578947368421</v>
      </c>
      <c r="N6" s="144">
        <f t="shared" si="1"/>
        <v>849.7499999999999</v>
      </c>
      <c r="O6" s="144">
        <f t="shared" si="2"/>
        <v>800</v>
      </c>
      <c r="P6" s="144">
        <f t="shared" si="3"/>
        <v>851.8518518518518</v>
      </c>
      <c r="Q6" s="144">
        <f t="shared" si="3"/>
        <v>1000</v>
      </c>
    </row>
    <row r="7" spans="1:17" s="145" customFormat="1" ht="21" customHeight="1">
      <c r="A7" s="27" t="s">
        <v>33</v>
      </c>
      <c r="B7" s="149" t="s">
        <v>2</v>
      </c>
      <c r="C7" s="129">
        <v>0.3</v>
      </c>
      <c r="D7" s="129">
        <v>0.24</v>
      </c>
      <c r="E7" s="129">
        <v>0.24</v>
      </c>
      <c r="F7" s="129">
        <v>0.235</v>
      </c>
      <c r="G7" s="129">
        <v>0.54</v>
      </c>
      <c r="H7" s="129">
        <v>0.16</v>
      </c>
      <c r="I7" s="129">
        <v>0.18</v>
      </c>
      <c r="J7" s="129">
        <v>0.12</v>
      </c>
      <c r="K7" s="129">
        <v>0.129</v>
      </c>
      <c r="L7" s="129">
        <v>0.433</v>
      </c>
      <c r="M7" s="144">
        <f t="shared" si="0"/>
        <v>533.3333333333334</v>
      </c>
      <c r="N7" s="144">
        <f t="shared" si="1"/>
        <v>750</v>
      </c>
      <c r="O7" s="144">
        <f t="shared" si="2"/>
        <v>500</v>
      </c>
      <c r="P7" s="144">
        <f t="shared" si="3"/>
        <v>548.936170212766</v>
      </c>
      <c r="Q7" s="144">
        <f t="shared" si="3"/>
        <v>801.8518518518518</v>
      </c>
    </row>
    <row r="8" spans="1:72" ht="21" customHeight="1">
      <c r="A8" s="206" t="s">
        <v>26</v>
      </c>
      <c r="B8" s="28" t="s">
        <v>2</v>
      </c>
      <c r="C8" s="73">
        <v>2.04</v>
      </c>
      <c r="D8" s="73">
        <v>3.15</v>
      </c>
      <c r="E8" s="73">
        <v>2.22</v>
      </c>
      <c r="F8" s="73">
        <f>1.256+0.649</f>
        <v>1.905</v>
      </c>
      <c r="G8" s="73">
        <f>1.63+0.455</f>
        <v>2.085</v>
      </c>
      <c r="H8" s="73">
        <v>2.75</v>
      </c>
      <c r="I8" s="73">
        <v>4.06</v>
      </c>
      <c r="J8" s="73">
        <v>2.99</v>
      </c>
      <c r="K8" s="73">
        <f>1.544+0.977</f>
        <v>2.521</v>
      </c>
      <c r="L8" s="73">
        <f>2.003+0.681</f>
        <v>2.684</v>
      </c>
      <c r="M8" s="98">
        <f t="shared" si="0"/>
        <v>1348.0392156862745</v>
      </c>
      <c r="N8" s="98">
        <f t="shared" si="1"/>
        <v>1288.8888888888887</v>
      </c>
      <c r="O8" s="98">
        <f t="shared" si="2"/>
        <v>1346.8468468468468</v>
      </c>
      <c r="P8" s="98">
        <f t="shared" si="3"/>
        <v>1323.3595800524934</v>
      </c>
      <c r="Q8" s="98">
        <f t="shared" si="3"/>
        <v>1287.2901678657076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21" customHeight="1">
      <c r="A9" s="206"/>
      <c r="B9" s="28" t="s">
        <v>3</v>
      </c>
      <c r="C9" s="73">
        <v>14</v>
      </c>
      <c r="D9" s="73">
        <v>10.88</v>
      </c>
      <c r="E9" s="73">
        <v>9.43</v>
      </c>
      <c r="F9" s="73">
        <f>2.97+6.529</f>
        <v>9.499</v>
      </c>
      <c r="G9" s="73">
        <f>3.462+4.739</f>
        <v>8.201</v>
      </c>
      <c r="H9" s="73">
        <v>20.356</v>
      </c>
      <c r="I9" s="73">
        <v>15.73</v>
      </c>
      <c r="J9" s="73">
        <v>13.66</v>
      </c>
      <c r="K9" s="73">
        <f>4.289+9.393</f>
        <v>13.682</v>
      </c>
      <c r="L9" s="73">
        <f>5.148+6.853</f>
        <v>12.001</v>
      </c>
      <c r="M9" s="98">
        <f t="shared" si="0"/>
        <v>1454.0000000000002</v>
      </c>
      <c r="N9" s="98">
        <f t="shared" si="1"/>
        <v>1445.7720588235295</v>
      </c>
      <c r="O9" s="98">
        <f t="shared" si="2"/>
        <v>1448.5683987274656</v>
      </c>
      <c r="P9" s="98">
        <f t="shared" si="3"/>
        <v>1440.3621433835142</v>
      </c>
      <c r="Q9" s="98">
        <f t="shared" si="3"/>
        <v>1463.3581270576756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17" s="145" customFormat="1" ht="21" customHeight="1">
      <c r="A10" s="206"/>
      <c r="B10" s="149" t="s">
        <v>4</v>
      </c>
      <c r="C10" s="129">
        <f aca="true" t="shared" si="5" ref="C10:L10">C9+C8</f>
        <v>16.04</v>
      </c>
      <c r="D10" s="129">
        <f t="shared" si="5"/>
        <v>14.030000000000001</v>
      </c>
      <c r="E10" s="129">
        <f t="shared" si="5"/>
        <v>11.65</v>
      </c>
      <c r="F10" s="129">
        <f t="shared" si="5"/>
        <v>11.404</v>
      </c>
      <c r="G10" s="129">
        <f t="shared" si="5"/>
        <v>10.286000000000001</v>
      </c>
      <c r="H10" s="129">
        <f t="shared" si="5"/>
        <v>23.106</v>
      </c>
      <c r="I10" s="129">
        <f t="shared" si="5"/>
        <v>19.79</v>
      </c>
      <c r="J10" s="129">
        <f t="shared" si="5"/>
        <v>16.65</v>
      </c>
      <c r="K10" s="129">
        <f t="shared" si="5"/>
        <v>16.203</v>
      </c>
      <c r="L10" s="129">
        <f t="shared" si="5"/>
        <v>14.684999999999999</v>
      </c>
      <c r="M10" s="144">
        <f t="shared" si="0"/>
        <v>1440.5236907730673</v>
      </c>
      <c r="N10" s="144">
        <f t="shared" si="1"/>
        <v>1410.5488239486813</v>
      </c>
      <c r="O10" s="144">
        <f t="shared" si="2"/>
        <v>1429.184549356223</v>
      </c>
      <c r="P10" s="144">
        <f t="shared" si="3"/>
        <v>1420.8172571027708</v>
      </c>
      <c r="Q10" s="144">
        <f t="shared" si="3"/>
        <v>1427.6686758701144</v>
      </c>
    </row>
    <row r="11" spans="1:72" ht="21" customHeight="1">
      <c r="A11" s="214" t="s">
        <v>30</v>
      </c>
      <c r="B11" s="28" t="s">
        <v>2</v>
      </c>
      <c r="C11" s="73">
        <v>1</v>
      </c>
      <c r="D11" s="73">
        <v>0.6</v>
      </c>
      <c r="E11" s="73">
        <v>0.1</v>
      </c>
      <c r="F11" s="73">
        <v>0.4</v>
      </c>
      <c r="G11" s="73">
        <v>0.6</v>
      </c>
      <c r="H11" s="73">
        <v>0.3</v>
      </c>
      <c r="I11" s="73">
        <v>0.3</v>
      </c>
      <c r="J11" s="73">
        <v>0</v>
      </c>
      <c r="K11" s="73">
        <v>0.2</v>
      </c>
      <c r="L11" s="73">
        <v>0.3</v>
      </c>
      <c r="M11" s="98">
        <f t="shared" si="0"/>
        <v>300</v>
      </c>
      <c r="N11" s="98">
        <f t="shared" si="1"/>
        <v>500</v>
      </c>
      <c r="O11" s="98">
        <f t="shared" si="2"/>
        <v>0</v>
      </c>
      <c r="P11" s="98">
        <f t="shared" si="3"/>
        <v>500</v>
      </c>
      <c r="Q11" s="98">
        <f t="shared" si="3"/>
        <v>500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21" customHeight="1">
      <c r="A12" s="215"/>
      <c r="B12" s="28" t="s">
        <v>21</v>
      </c>
      <c r="C12" s="74">
        <v>0</v>
      </c>
      <c r="D12" s="74">
        <v>0</v>
      </c>
      <c r="E12" s="74">
        <v>0</v>
      </c>
      <c r="F12" s="74">
        <v>0</v>
      </c>
      <c r="G12" s="73">
        <v>0.4</v>
      </c>
      <c r="H12" s="74">
        <v>0</v>
      </c>
      <c r="I12" s="74">
        <v>0</v>
      </c>
      <c r="J12" s="74">
        <v>0</v>
      </c>
      <c r="K12" s="74">
        <v>0</v>
      </c>
      <c r="L12" s="73">
        <v>0.2</v>
      </c>
      <c r="M12" s="98">
        <v>0</v>
      </c>
      <c r="N12" s="98">
        <v>0</v>
      </c>
      <c r="O12" s="98">
        <v>0</v>
      </c>
      <c r="P12" s="98">
        <v>0</v>
      </c>
      <c r="Q12" s="98">
        <f t="shared" si="3"/>
        <v>500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17" s="145" customFormat="1" ht="21" customHeight="1">
      <c r="A13" s="216"/>
      <c r="B13" s="149" t="s">
        <v>4</v>
      </c>
      <c r="C13" s="129">
        <f aca="true" t="shared" si="6" ref="C13:L13">C12+C11</f>
        <v>1</v>
      </c>
      <c r="D13" s="129">
        <f t="shared" si="6"/>
        <v>0.6</v>
      </c>
      <c r="E13" s="129">
        <f t="shared" si="6"/>
        <v>0.1</v>
      </c>
      <c r="F13" s="129">
        <f t="shared" si="6"/>
        <v>0.4</v>
      </c>
      <c r="G13" s="129">
        <f t="shared" si="6"/>
        <v>1</v>
      </c>
      <c r="H13" s="129">
        <f t="shared" si="6"/>
        <v>0.3</v>
      </c>
      <c r="I13" s="129">
        <f t="shared" si="6"/>
        <v>0.3</v>
      </c>
      <c r="J13" s="129">
        <f t="shared" si="6"/>
        <v>0</v>
      </c>
      <c r="K13" s="129">
        <f t="shared" si="6"/>
        <v>0.2</v>
      </c>
      <c r="L13" s="129">
        <f t="shared" si="6"/>
        <v>0.5</v>
      </c>
      <c r="M13" s="144">
        <f aca="true" t="shared" si="7" ref="M12:P13">H13/C13*1000</f>
        <v>300</v>
      </c>
      <c r="N13" s="144">
        <f t="shared" si="7"/>
        <v>500</v>
      </c>
      <c r="O13" s="144">
        <f t="shared" si="7"/>
        <v>0</v>
      </c>
      <c r="P13" s="144">
        <f t="shared" si="7"/>
        <v>500</v>
      </c>
      <c r="Q13" s="144">
        <f t="shared" si="3"/>
        <v>500</v>
      </c>
    </row>
    <row r="14" spans="1:17" s="145" customFormat="1" ht="21" customHeight="1">
      <c r="A14" s="2" t="s">
        <v>9</v>
      </c>
      <c r="B14" s="149" t="s">
        <v>2</v>
      </c>
      <c r="C14" s="129">
        <v>15</v>
      </c>
      <c r="D14" s="129">
        <v>5</v>
      </c>
      <c r="E14" s="129">
        <v>11.6</v>
      </c>
      <c r="F14" s="129">
        <v>9</v>
      </c>
      <c r="G14" s="129">
        <v>8.9</v>
      </c>
      <c r="H14" s="129">
        <v>26</v>
      </c>
      <c r="I14" s="129">
        <v>12</v>
      </c>
      <c r="J14" s="129">
        <v>32.1</v>
      </c>
      <c r="K14" s="129">
        <v>18.504</v>
      </c>
      <c r="L14" s="129">
        <v>12.4</v>
      </c>
      <c r="M14" s="144">
        <f t="shared" si="0"/>
        <v>1733.3333333333335</v>
      </c>
      <c r="N14" s="144">
        <f t="shared" si="1"/>
        <v>2400</v>
      </c>
      <c r="O14" s="144">
        <f t="shared" si="2"/>
        <v>2767.241379310345</v>
      </c>
      <c r="P14" s="144">
        <f t="shared" si="3"/>
        <v>2056</v>
      </c>
      <c r="Q14" s="144">
        <f t="shared" si="3"/>
        <v>1393.2584269662923</v>
      </c>
    </row>
    <row r="15" spans="1:72" ht="21" customHeight="1">
      <c r="A15" s="206" t="s">
        <v>51</v>
      </c>
      <c r="B15" s="28" t="s">
        <v>2</v>
      </c>
      <c r="C15" s="73">
        <v>0.63</v>
      </c>
      <c r="D15" s="73">
        <v>0.23</v>
      </c>
      <c r="E15" s="73">
        <v>0.23</v>
      </c>
      <c r="F15" s="73">
        <v>0.2</v>
      </c>
      <c r="G15" s="73">
        <v>1.409</v>
      </c>
      <c r="H15" s="73">
        <v>0.52</v>
      </c>
      <c r="I15" s="73">
        <v>0.16</v>
      </c>
      <c r="J15" s="73">
        <v>0.12</v>
      </c>
      <c r="K15" s="73">
        <v>0.1424</v>
      </c>
      <c r="L15" s="73">
        <v>0.767</v>
      </c>
      <c r="M15" s="98">
        <f t="shared" si="0"/>
        <v>825.3968253968254</v>
      </c>
      <c r="N15" s="98">
        <f t="shared" si="1"/>
        <v>695.6521739130435</v>
      </c>
      <c r="O15" s="98">
        <f t="shared" si="2"/>
        <v>521.7391304347826</v>
      </c>
      <c r="P15" s="98">
        <f t="shared" si="3"/>
        <v>712</v>
      </c>
      <c r="Q15" s="98">
        <f t="shared" si="3"/>
        <v>544.3577004968062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21" customHeight="1">
      <c r="A16" s="206"/>
      <c r="B16" s="28" t="s">
        <v>3</v>
      </c>
      <c r="C16" s="73">
        <v>0.55</v>
      </c>
      <c r="D16" s="73">
        <v>0.42</v>
      </c>
      <c r="E16" s="73">
        <v>0.46</v>
      </c>
      <c r="F16" s="73">
        <v>1.322</v>
      </c>
      <c r="G16" s="73">
        <v>1.535</v>
      </c>
      <c r="H16" s="73">
        <v>0.44</v>
      </c>
      <c r="I16" s="73">
        <v>0.22</v>
      </c>
      <c r="J16" s="73">
        <v>0.23</v>
      </c>
      <c r="K16" s="73">
        <v>0.616</v>
      </c>
      <c r="L16" s="73">
        <v>0.771</v>
      </c>
      <c r="M16" s="98">
        <f t="shared" si="0"/>
        <v>799.9999999999999</v>
      </c>
      <c r="N16" s="98">
        <f t="shared" si="1"/>
        <v>523.8095238095239</v>
      </c>
      <c r="O16" s="98">
        <f t="shared" si="2"/>
        <v>500</v>
      </c>
      <c r="P16" s="98">
        <f t="shared" si="3"/>
        <v>465.9606656580937</v>
      </c>
      <c r="Q16" s="98">
        <f t="shared" si="3"/>
        <v>502.28013029315963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17" s="145" customFormat="1" ht="21" customHeight="1">
      <c r="A17" s="206"/>
      <c r="B17" s="149" t="s">
        <v>4</v>
      </c>
      <c r="C17" s="129">
        <f aca="true" t="shared" si="8" ref="C17:L17">C16+C15</f>
        <v>1.1800000000000002</v>
      </c>
      <c r="D17" s="129">
        <f t="shared" si="8"/>
        <v>0.65</v>
      </c>
      <c r="E17" s="129">
        <f t="shared" si="8"/>
        <v>0.6900000000000001</v>
      </c>
      <c r="F17" s="129">
        <f t="shared" si="8"/>
        <v>1.522</v>
      </c>
      <c r="G17" s="129">
        <f t="shared" si="8"/>
        <v>2.944</v>
      </c>
      <c r="H17" s="129">
        <f t="shared" si="8"/>
        <v>0.96</v>
      </c>
      <c r="I17" s="129">
        <f t="shared" si="8"/>
        <v>0.38</v>
      </c>
      <c r="J17" s="129">
        <f t="shared" si="8"/>
        <v>0.35</v>
      </c>
      <c r="K17" s="129">
        <f t="shared" si="8"/>
        <v>0.7584</v>
      </c>
      <c r="L17" s="129">
        <f t="shared" si="8"/>
        <v>1.538</v>
      </c>
      <c r="M17" s="144">
        <f t="shared" si="0"/>
        <v>813.5593220338982</v>
      </c>
      <c r="N17" s="144">
        <f t="shared" si="1"/>
        <v>584.6153846153846</v>
      </c>
      <c r="O17" s="144">
        <f t="shared" si="2"/>
        <v>507.24637681159413</v>
      </c>
      <c r="P17" s="144">
        <f t="shared" si="3"/>
        <v>498.29172141918525</v>
      </c>
      <c r="Q17" s="144">
        <f t="shared" si="3"/>
        <v>522.4184782608696</v>
      </c>
    </row>
    <row r="18" spans="1:72" ht="21" customHeight="1">
      <c r="A18" s="206" t="s">
        <v>11</v>
      </c>
      <c r="B18" s="28" t="s">
        <v>2</v>
      </c>
      <c r="C18" s="73">
        <v>211</v>
      </c>
      <c r="D18" s="73">
        <v>187</v>
      </c>
      <c r="E18" s="73">
        <v>155</v>
      </c>
      <c r="F18" s="73">
        <v>125</v>
      </c>
      <c r="G18" s="73">
        <v>134</v>
      </c>
      <c r="H18" s="73">
        <v>107</v>
      </c>
      <c r="I18" s="73">
        <v>109</v>
      </c>
      <c r="J18" s="73">
        <v>86</v>
      </c>
      <c r="K18" s="73">
        <v>51</v>
      </c>
      <c r="L18" s="73">
        <v>78</v>
      </c>
      <c r="M18" s="98">
        <f t="shared" si="0"/>
        <v>507.1090047393365</v>
      </c>
      <c r="N18" s="98">
        <f t="shared" si="1"/>
        <v>582.8877005347593</v>
      </c>
      <c r="O18" s="98">
        <f t="shared" si="2"/>
        <v>554.8387096774193</v>
      </c>
      <c r="P18" s="98">
        <f t="shared" si="3"/>
        <v>408</v>
      </c>
      <c r="Q18" s="98">
        <f t="shared" si="3"/>
        <v>582.0895522388059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21" customHeight="1">
      <c r="A19" s="206"/>
      <c r="B19" s="28" t="s">
        <v>3</v>
      </c>
      <c r="C19" s="73">
        <v>299</v>
      </c>
      <c r="D19" s="73">
        <v>230</v>
      </c>
      <c r="E19" s="73">
        <v>201</v>
      </c>
      <c r="F19" s="73">
        <f>194+11</f>
        <v>205</v>
      </c>
      <c r="G19" s="73">
        <f>82+4</f>
        <v>86</v>
      </c>
      <c r="H19" s="73">
        <v>158</v>
      </c>
      <c r="I19" s="73">
        <v>144</v>
      </c>
      <c r="J19" s="73">
        <v>120</v>
      </c>
      <c r="K19" s="73">
        <v>100.54225</v>
      </c>
      <c r="L19" s="73">
        <f>18+2</f>
        <v>20</v>
      </c>
      <c r="M19" s="98">
        <f t="shared" si="0"/>
        <v>528.428093645485</v>
      </c>
      <c r="N19" s="98">
        <f t="shared" si="1"/>
        <v>626.0869565217391</v>
      </c>
      <c r="O19" s="98">
        <f t="shared" si="2"/>
        <v>597.0149253731342</v>
      </c>
      <c r="P19" s="98">
        <f t="shared" si="3"/>
        <v>490.45</v>
      </c>
      <c r="Q19" s="98">
        <f t="shared" si="3"/>
        <v>232.5581395348837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17" s="145" customFormat="1" ht="21" customHeight="1">
      <c r="A20" s="206"/>
      <c r="B20" s="149" t="s">
        <v>4</v>
      </c>
      <c r="C20" s="129">
        <f aca="true" t="shared" si="9" ref="C20:J20">C19+C18</f>
        <v>510</v>
      </c>
      <c r="D20" s="129">
        <f t="shared" si="9"/>
        <v>417</v>
      </c>
      <c r="E20" s="129">
        <f t="shared" si="9"/>
        <v>356</v>
      </c>
      <c r="F20" s="129">
        <f>F19+F18</f>
        <v>330</v>
      </c>
      <c r="G20" s="129">
        <f>G19+G18</f>
        <v>220</v>
      </c>
      <c r="H20" s="129">
        <f t="shared" si="9"/>
        <v>265</v>
      </c>
      <c r="I20" s="129">
        <f t="shared" si="9"/>
        <v>253</v>
      </c>
      <c r="J20" s="129">
        <f t="shared" si="9"/>
        <v>206</v>
      </c>
      <c r="K20" s="129">
        <f>K19+K18</f>
        <v>151.54225</v>
      </c>
      <c r="L20" s="129">
        <f>L19+L18</f>
        <v>98</v>
      </c>
      <c r="M20" s="144">
        <f t="shared" si="0"/>
        <v>519.6078431372549</v>
      </c>
      <c r="N20" s="144">
        <f t="shared" si="1"/>
        <v>606.7146282973621</v>
      </c>
      <c r="O20" s="144">
        <f t="shared" si="2"/>
        <v>578.6516853932584</v>
      </c>
      <c r="P20" s="144">
        <f t="shared" si="3"/>
        <v>459.21893939393937</v>
      </c>
      <c r="Q20" s="144">
        <f t="shared" si="3"/>
        <v>445.45454545454544</v>
      </c>
    </row>
    <row r="21" spans="1:72" ht="21" customHeight="1">
      <c r="A21" s="206" t="s">
        <v>13</v>
      </c>
      <c r="B21" s="28" t="s">
        <v>2</v>
      </c>
      <c r="C21" s="74">
        <v>0</v>
      </c>
      <c r="D21" s="73">
        <v>0.1</v>
      </c>
      <c r="E21" s="73">
        <v>0</v>
      </c>
      <c r="F21" s="73">
        <v>1</v>
      </c>
      <c r="G21" s="73">
        <v>1</v>
      </c>
      <c r="H21" s="74">
        <v>0</v>
      </c>
      <c r="I21" s="74">
        <v>0</v>
      </c>
      <c r="J21" s="74">
        <v>0</v>
      </c>
      <c r="K21" s="73">
        <v>1</v>
      </c>
      <c r="L21" s="73">
        <v>1</v>
      </c>
      <c r="M21" s="98">
        <v>0</v>
      </c>
      <c r="N21" s="98">
        <f aca="true" t="shared" si="10" ref="M21:O23">I21/D21*1000</f>
        <v>0</v>
      </c>
      <c r="O21" s="98">
        <v>0</v>
      </c>
      <c r="P21" s="98">
        <f aca="true" t="shared" si="11" ref="P21:Q41">K21/F21*1000</f>
        <v>1000</v>
      </c>
      <c r="Q21" s="98">
        <f t="shared" si="11"/>
        <v>1000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21" customHeight="1">
      <c r="A22" s="206"/>
      <c r="B22" s="28" t="s">
        <v>16</v>
      </c>
      <c r="C22" s="74">
        <v>0</v>
      </c>
      <c r="D22" s="74">
        <v>0</v>
      </c>
      <c r="E22" s="73">
        <v>0</v>
      </c>
      <c r="F22" s="74">
        <v>0</v>
      </c>
      <c r="G22" s="73">
        <v>2</v>
      </c>
      <c r="H22" s="74">
        <v>0</v>
      </c>
      <c r="I22" s="74">
        <v>0</v>
      </c>
      <c r="J22" s="74">
        <v>0</v>
      </c>
      <c r="K22" s="74">
        <v>0</v>
      </c>
      <c r="L22" s="73">
        <v>2</v>
      </c>
      <c r="M22" s="98">
        <v>0</v>
      </c>
      <c r="N22" s="98">
        <v>0</v>
      </c>
      <c r="O22" s="98">
        <v>0</v>
      </c>
      <c r="P22" s="98">
        <v>0</v>
      </c>
      <c r="Q22" s="98">
        <f t="shared" si="11"/>
        <v>1000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17" s="145" customFormat="1" ht="21" customHeight="1">
      <c r="A23" s="206"/>
      <c r="B23" s="149" t="s">
        <v>4</v>
      </c>
      <c r="C23" s="129">
        <f aca="true" t="shared" si="12" ref="C23:L23">C22+C21</f>
        <v>0</v>
      </c>
      <c r="D23" s="129">
        <f t="shared" si="12"/>
        <v>0.1</v>
      </c>
      <c r="E23" s="129">
        <f t="shared" si="12"/>
        <v>0</v>
      </c>
      <c r="F23" s="129">
        <f t="shared" si="12"/>
        <v>1</v>
      </c>
      <c r="G23" s="129">
        <f t="shared" si="12"/>
        <v>3</v>
      </c>
      <c r="H23" s="129">
        <f t="shared" si="12"/>
        <v>0</v>
      </c>
      <c r="I23" s="129">
        <f t="shared" si="12"/>
        <v>0</v>
      </c>
      <c r="J23" s="129">
        <f t="shared" si="12"/>
        <v>0</v>
      </c>
      <c r="K23" s="129">
        <f t="shared" si="12"/>
        <v>1</v>
      </c>
      <c r="L23" s="129">
        <f t="shared" si="12"/>
        <v>3</v>
      </c>
      <c r="M23" s="144">
        <v>0</v>
      </c>
      <c r="N23" s="144">
        <f t="shared" si="10"/>
        <v>0</v>
      </c>
      <c r="O23" s="144">
        <v>0</v>
      </c>
      <c r="P23" s="144">
        <f t="shared" si="11"/>
        <v>1000</v>
      </c>
      <c r="Q23" s="144">
        <f t="shared" si="11"/>
        <v>1000</v>
      </c>
    </row>
    <row r="24" spans="1:72" ht="21" customHeight="1">
      <c r="A24" s="211" t="s">
        <v>14</v>
      </c>
      <c r="B24" s="28" t="s">
        <v>2</v>
      </c>
      <c r="C24" s="73">
        <v>35</v>
      </c>
      <c r="D24" s="73">
        <v>34</v>
      </c>
      <c r="E24" s="73">
        <v>32</v>
      </c>
      <c r="F24" s="73">
        <v>18</v>
      </c>
      <c r="G24" s="73">
        <v>21.1</v>
      </c>
      <c r="H24" s="73">
        <v>14</v>
      </c>
      <c r="I24" s="73">
        <v>20</v>
      </c>
      <c r="J24" s="73">
        <v>10</v>
      </c>
      <c r="K24" s="73">
        <v>2</v>
      </c>
      <c r="L24" s="73">
        <v>5.9</v>
      </c>
      <c r="M24" s="98">
        <f aca="true" t="shared" si="13" ref="M24:O25">H24/C24*1000</f>
        <v>400</v>
      </c>
      <c r="N24" s="98">
        <f t="shared" si="13"/>
        <v>588.2352941176471</v>
      </c>
      <c r="O24" s="98">
        <f t="shared" si="13"/>
        <v>312.5</v>
      </c>
      <c r="P24" s="98">
        <f t="shared" si="11"/>
        <v>111.1111111111111</v>
      </c>
      <c r="Q24" s="98">
        <f t="shared" si="11"/>
        <v>279.62085308056874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21" customHeight="1">
      <c r="A25" s="211"/>
      <c r="B25" s="28" t="s">
        <v>21</v>
      </c>
      <c r="C25" s="73">
        <v>43</v>
      </c>
      <c r="D25" s="73">
        <v>37</v>
      </c>
      <c r="E25" s="73">
        <v>50</v>
      </c>
      <c r="F25" s="73">
        <v>29</v>
      </c>
      <c r="G25" s="73">
        <f>37.3+0.7</f>
        <v>38</v>
      </c>
      <c r="H25" s="73">
        <v>20</v>
      </c>
      <c r="I25" s="73">
        <v>24</v>
      </c>
      <c r="J25" s="73">
        <v>23</v>
      </c>
      <c r="K25" s="73">
        <f>7+1</f>
        <v>8</v>
      </c>
      <c r="L25" s="73">
        <f>28.4+0.8</f>
        <v>29.2</v>
      </c>
      <c r="M25" s="98">
        <f t="shared" si="13"/>
        <v>465.1162790697674</v>
      </c>
      <c r="N25" s="98">
        <f t="shared" si="13"/>
        <v>648.6486486486486</v>
      </c>
      <c r="O25" s="98">
        <f t="shared" si="13"/>
        <v>460</v>
      </c>
      <c r="P25" s="98">
        <f t="shared" si="11"/>
        <v>275.8620689655172</v>
      </c>
      <c r="Q25" s="98">
        <f t="shared" si="11"/>
        <v>768.4210526315788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17" s="145" customFormat="1" ht="21" customHeight="1">
      <c r="A26" s="211"/>
      <c r="B26" s="149" t="s">
        <v>4</v>
      </c>
      <c r="C26" s="129">
        <f>C25+C24</f>
        <v>78</v>
      </c>
      <c r="D26" s="129">
        <f aca="true" t="shared" si="14" ref="D26:L26">D25+D24</f>
        <v>71</v>
      </c>
      <c r="E26" s="129">
        <f t="shared" si="14"/>
        <v>82</v>
      </c>
      <c r="F26" s="129">
        <f t="shared" si="14"/>
        <v>47</v>
      </c>
      <c r="G26" s="129">
        <f t="shared" si="14"/>
        <v>59.1</v>
      </c>
      <c r="H26" s="129">
        <f t="shared" si="14"/>
        <v>34</v>
      </c>
      <c r="I26" s="129">
        <f t="shared" si="14"/>
        <v>44</v>
      </c>
      <c r="J26" s="129">
        <f t="shared" si="14"/>
        <v>33</v>
      </c>
      <c r="K26" s="129">
        <f t="shared" si="14"/>
        <v>10</v>
      </c>
      <c r="L26" s="129">
        <f t="shared" si="14"/>
        <v>35.1</v>
      </c>
      <c r="M26" s="144">
        <f aca="true" t="shared" si="15" ref="M26:M41">H26/C26*1000</f>
        <v>435.8974358974359</v>
      </c>
      <c r="N26" s="144">
        <f aca="true" t="shared" si="16" ref="N26:N41">I26/D26*1000</f>
        <v>619.7183098591548</v>
      </c>
      <c r="O26" s="144">
        <f aca="true" t="shared" si="17" ref="O26:O41">J26/E26*1000</f>
        <v>402.4390243902439</v>
      </c>
      <c r="P26" s="144">
        <f t="shared" si="11"/>
        <v>212.7659574468085</v>
      </c>
      <c r="Q26" s="144">
        <f t="shared" si="11"/>
        <v>593.9086294416244</v>
      </c>
    </row>
    <row r="27" spans="1:72" ht="21" customHeight="1">
      <c r="A27" s="206" t="s">
        <v>15</v>
      </c>
      <c r="B27" s="28" t="s">
        <v>2</v>
      </c>
      <c r="C27" s="73">
        <v>0.26</v>
      </c>
      <c r="D27" s="73">
        <v>0.26</v>
      </c>
      <c r="E27" s="73">
        <v>0.3</v>
      </c>
      <c r="F27" s="73">
        <v>0.34</v>
      </c>
      <c r="G27" s="73">
        <v>0.35</v>
      </c>
      <c r="H27" s="73">
        <v>0.21</v>
      </c>
      <c r="I27" s="73">
        <v>0.2</v>
      </c>
      <c r="J27" s="73">
        <v>0.24</v>
      </c>
      <c r="K27" s="73">
        <v>0.28</v>
      </c>
      <c r="L27" s="73">
        <v>0.3</v>
      </c>
      <c r="M27" s="98">
        <f t="shared" si="15"/>
        <v>807.6923076923076</v>
      </c>
      <c r="N27" s="98">
        <f t="shared" si="16"/>
        <v>769.2307692307693</v>
      </c>
      <c r="O27" s="98">
        <f t="shared" si="17"/>
        <v>800</v>
      </c>
      <c r="P27" s="98">
        <f t="shared" si="11"/>
        <v>823.529411764706</v>
      </c>
      <c r="Q27" s="98">
        <f t="shared" si="11"/>
        <v>857.1428571428572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21" customHeight="1">
      <c r="A28" s="206"/>
      <c r="B28" s="28" t="s">
        <v>16</v>
      </c>
      <c r="C28" s="73">
        <v>2.02</v>
      </c>
      <c r="D28" s="73">
        <v>2.05</v>
      </c>
      <c r="E28" s="73">
        <v>2.09</v>
      </c>
      <c r="F28" s="73">
        <v>2.17</v>
      </c>
      <c r="G28" s="73">
        <v>2.22</v>
      </c>
      <c r="H28" s="73">
        <v>1.23</v>
      </c>
      <c r="I28" s="73">
        <v>1.3</v>
      </c>
      <c r="J28" s="73">
        <v>1.28</v>
      </c>
      <c r="K28" s="73">
        <v>1.33</v>
      </c>
      <c r="L28" s="73">
        <v>1.36</v>
      </c>
      <c r="M28" s="98">
        <f t="shared" si="15"/>
        <v>608.9108910891089</v>
      </c>
      <c r="N28" s="98">
        <f t="shared" si="16"/>
        <v>634.1463414634147</v>
      </c>
      <c r="O28" s="98">
        <f t="shared" si="17"/>
        <v>612.4401913875599</v>
      </c>
      <c r="P28" s="98">
        <f t="shared" si="11"/>
        <v>612.9032258064516</v>
      </c>
      <c r="Q28" s="98">
        <f t="shared" si="11"/>
        <v>612.6126126126126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17" s="145" customFormat="1" ht="21" customHeight="1">
      <c r="A29" s="206"/>
      <c r="B29" s="149" t="s">
        <v>4</v>
      </c>
      <c r="C29" s="129">
        <f aca="true" t="shared" si="18" ref="C29:L29">C28+C27</f>
        <v>2.2800000000000002</v>
      </c>
      <c r="D29" s="129">
        <f t="shared" si="18"/>
        <v>2.3099999999999996</v>
      </c>
      <c r="E29" s="129">
        <f t="shared" si="18"/>
        <v>2.3899999999999997</v>
      </c>
      <c r="F29" s="129">
        <f t="shared" si="18"/>
        <v>2.51</v>
      </c>
      <c r="G29" s="129">
        <f t="shared" si="18"/>
        <v>2.5700000000000003</v>
      </c>
      <c r="H29" s="129">
        <f t="shared" si="18"/>
        <v>1.44</v>
      </c>
      <c r="I29" s="129">
        <f t="shared" si="18"/>
        <v>1.5</v>
      </c>
      <c r="J29" s="129">
        <f t="shared" si="18"/>
        <v>1.52</v>
      </c>
      <c r="K29" s="129">
        <f t="shared" si="18"/>
        <v>1.61</v>
      </c>
      <c r="L29" s="129">
        <f t="shared" si="18"/>
        <v>1.6600000000000001</v>
      </c>
      <c r="M29" s="144">
        <f t="shared" si="15"/>
        <v>631.5789473684209</v>
      </c>
      <c r="N29" s="144">
        <f t="shared" si="16"/>
        <v>649.3506493506494</v>
      </c>
      <c r="O29" s="144">
        <f t="shared" si="17"/>
        <v>635.9832635983265</v>
      </c>
      <c r="P29" s="144">
        <f t="shared" si="11"/>
        <v>641.4342629482072</v>
      </c>
      <c r="Q29" s="144">
        <f t="shared" si="11"/>
        <v>645.9143968871596</v>
      </c>
    </row>
    <row r="30" spans="1:72" ht="21" customHeight="1">
      <c r="A30" s="206" t="s">
        <v>111</v>
      </c>
      <c r="B30" s="28" t="s">
        <v>2</v>
      </c>
      <c r="C30" s="73">
        <v>0.4</v>
      </c>
      <c r="D30" s="73">
        <v>0.35</v>
      </c>
      <c r="E30" s="73">
        <v>0.32</v>
      </c>
      <c r="F30" s="73">
        <v>0.29</v>
      </c>
      <c r="G30" s="73">
        <v>0.34</v>
      </c>
      <c r="H30" s="73">
        <v>0.28</v>
      </c>
      <c r="I30" s="73">
        <v>0.25</v>
      </c>
      <c r="J30" s="73">
        <v>0.23</v>
      </c>
      <c r="K30" s="73">
        <v>0.2</v>
      </c>
      <c r="L30" s="73">
        <v>0.24</v>
      </c>
      <c r="M30" s="98">
        <f t="shared" si="15"/>
        <v>700.0000000000001</v>
      </c>
      <c r="N30" s="98">
        <f t="shared" si="16"/>
        <v>714.2857142857143</v>
      </c>
      <c r="O30" s="98">
        <f t="shared" si="17"/>
        <v>718.75</v>
      </c>
      <c r="P30" s="98">
        <f t="shared" si="11"/>
        <v>689.6551724137931</v>
      </c>
      <c r="Q30" s="98">
        <f t="shared" si="11"/>
        <v>705.8823529411764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21" customHeight="1">
      <c r="A31" s="206"/>
      <c r="B31" s="28" t="s">
        <v>3</v>
      </c>
      <c r="C31" s="73">
        <v>25.923</v>
      </c>
      <c r="D31" s="73">
        <v>24.53</v>
      </c>
      <c r="E31" s="73">
        <v>21.37</v>
      </c>
      <c r="F31" s="73">
        <v>15.74</v>
      </c>
      <c r="G31" s="73">
        <v>17.68</v>
      </c>
      <c r="H31" s="73">
        <v>31</v>
      </c>
      <c r="I31" s="73">
        <v>29.44</v>
      </c>
      <c r="J31" s="73">
        <v>25.69</v>
      </c>
      <c r="K31" s="73">
        <v>18.86</v>
      </c>
      <c r="L31" s="73">
        <v>21.22</v>
      </c>
      <c r="M31" s="98">
        <f t="shared" si="15"/>
        <v>1195.8492458434596</v>
      </c>
      <c r="N31" s="98">
        <f t="shared" si="16"/>
        <v>1200.1630656339178</v>
      </c>
      <c r="O31" s="98">
        <f t="shared" si="17"/>
        <v>1202.1525503041648</v>
      </c>
      <c r="P31" s="98">
        <f t="shared" si="11"/>
        <v>1198.2210927573062</v>
      </c>
      <c r="Q31" s="98">
        <f t="shared" si="11"/>
        <v>1200.2262443438913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17" s="145" customFormat="1" ht="21" customHeight="1">
      <c r="A32" s="206"/>
      <c r="B32" s="149" t="s">
        <v>4</v>
      </c>
      <c r="C32" s="129">
        <f aca="true" t="shared" si="19" ref="C32:L32">C31+C30</f>
        <v>26.322999999999997</v>
      </c>
      <c r="D32" s="129">
        <f t="shared" si="19"/>
        <v>24.880000000000003</v>
      </c>
      <c r="E32" s="129">
        <f t="shared" si="19"/>
        <v>21.69</v>
      </c>
      <c r="F32" s="129">
        <f t="shared" si="19"/>
        <v>16.03</v>
      </c>
      <c r="G32" s="129">
        <f t="shared" si="19"/>
        <v>18.02</v>
      </c>
      <c r="H32" s="129">
        <f t="shared" si="19"/>
        <v>31.28</v>
      </c>
      <c r="I32" s="129">
        <f t="shared" si="19"/>
        <v>29.69</v>
      </c>
      <c r="J32" s="129">
        <f t="shared" si="19"/>
        <v>25.92</v>
      </c>
      <c r="K32" s="129">
        <f t="shared" si="19"/>
        <v>19.06</v>
      </c>
      <c r="L32" s="129">
        <f t="shared" si="19"/>
        <v>21.459999999999997</v>
      </c>
      <c r="M32" s="144">
        <f t="shared" si="15"/>
        <v>1188.3144018538922</v>
      </c>
      <c r="N32" s="144">
        <f t="shared" si="16"/>
        <v>1193.3279742765274</v>
      </c>
      <c r="O32" s="144">
        <f t="shared" si="17"/>
        <v>1195.0207468879669</v>
      </c>
      <c r="P32" s="144">
        <f t="shared" si="11"/>
        <v>1189.0205864004988</v>
      </c>
      <c r="Q32" s="144">
        <f t="shared" si="11"/>
        <v>1190.8990011098779</v>
      </c>
    </row>
    <row r="33" spans="1:17" s="145" customFormat="1" ht="21" customHeight="1">
      <c r="A33" s="2" t="s">
        <v>48</v>
      </c>
      <c r="B33" s="149" t="s">
        <v>16</v>
      </c>
      <c r="C33" s="129">
        <v>12.6</v>
      </c>
      <c r="D33" s="129">
        <v>10.7</v>
      </c>
      <c r="E33" s="129">
        <v>8.5</v>
      </c>
      <c r="F33" s="129">
        <v>6.4</v>
      </c>
      <c r="G33" s="129">
        <v>5.8</v>
      </c>
      <c r="H33" s="129">
        <v>23.7</v>
      </c>
      <c r="I33" s="129">
        <v>18.6</v>
      </c>
      <c r="J33" s="129">
        <v>15</v>
      </c>
      <c r="K33" s="129">
        <v>11.5</v>
      </c>
      <c r="L33" s="129">
        <v>9.6</v>
      </c>
      <c r="M33" s="144">
        <f t="shared" si="15"/>
        <v>1880.952380952381</v>
      </c>
      <c r="N33" s="144">
        <f t="shared" si="16"/>
        <v>1738.317757009346</v>
      </c>
      <c r="O33" s="144">
        <f t="shared" si="17"/>
        <v>1764.7058823529412</v>
      </c>
      <c r="P33" s="144">
        <f t="shared" si="11"/>
        <v>1796.875</v>
      </c>
      <c r="Q33" s="144">
        <f t="shared" si="11"/>
        <v>1655.1724137931035</v>
      </c>
    </row>
    <row r="34" spans="1:72" ht="18.75" customHeight="1" hidden="1">
      <c r="A34" s="2" t="s">
        <v>28</v>
      </c>
      <c r="B34" s="28" t="s">
        <v>3</v>
      </c>
      <c r="C34" s="73"/>
      <c r="D34" s="73"/>
      <c r="E34" s="73"/>
      <c r="F34" s="73"/>
      <c r="G34" s="73"/>
      <c r="H34" s="73"/>
      <c r="I34" s="73"/>
      <c r="J34" s="73"/>
      <c r="K34" s="85"/>
      <c r="L34" s="73"/>
      <c r="M34" s="98" t="e">
        <f t="shared" si="15"/>
        <v>#DIV/0!</v>
      </c>
      <c r="N34" s="98" t="e">
        <f t="shared" si="16"/>
        <v>#DIV/0!</v>
      </c>
      <c r="O34" s="98" t="e">
        <f t="shared" si="17"/>
        <v>#DIV/0!</v>
      </c>
      <c r="P34" s="98" t="e">
        <f t="shared" si="11"/>
        <v>#DIV/0!</v>
      </c>
      <c r="Q34" s="98" t="e">
        <f t="shared" si="11"/>
        <v>#DIV/0!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21" customHeight="1">
      <c r="A35" s="206" t="s">
        <v>49</v>
      </c>
      <c r="B35" s="28" t="s">
        <v>2</v>
      </c>
      <c r="C35" s="73">
        <v>4.43</v>
      </c>
      <c r="D35" s="73">
        <v>2.16</v>
      </c>
      <c r="E35" s="73">
        <v>2.78</v>
      </c>
      <c r="F35" s="73">
        <v>1.96</v>
      </c>
      <c r="G35" s="73">
        <v>1.96</v>
      </c>
      <c r="H35" s="73">
        <v>5.95</v>
      </c>
      <c r="I35" s="73">
        <v>3.9</v>
      </c>
      <c r="J35" s="73">
        <v>4.21</v>
      </c>
      <c r="K35" s="73">
        <v>2.77</v>
      </c>
      <c r="L35" s="73">
        <v>1.68</v>
      </c>
      <c r="M35" s="98">
        <f t="shared" si="15"/>
        <v>1343.115124153499</v>
      </c>
      <c r="N35" s="98">
        <f t="shared" si="16"/>
        <v>1805.5555555555554</v>
      </c>
      <c r="O35" s="98">
        <f t="shared" si="17"/>
        <v>1514.3884892086332</v>
      </c>
      <c r="P35" s="98">
        <f t="shared" si="11"/>
        <v>1413.265306122449</v>
      </c>
      <c r="Q35" s="98">
        <f t="shared" si="11"/>
        <v>857.1428571428571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21" customHeight="1">
      <c r="A36" s="206"/>
      <c r="B36" s="28" t="s">
        <v>21</v>
      </c>
      <c r="C36" s="73">
        <v>6.36</v>
      </c>
      <c r="D36" s="73">
        <v>5.83</v>
      </c>
      <c r="E36" s="73">
        <v>6.12</v>
      </c>
      <c r="F36" s="73">
        <v>6.33</v>
      </c>
      <c r="G36" s="73">
        <v>5.49</v>
      </c>
      <c r="H36" s="73">
        <v>8.688</v>
      </c>
      <c r="I36" s="73">
        <v>8.6</v>
      </c>
      <c r="J36" s="73">
        <v>8.33</v>
      </c>
      <c r="K36" s="73">
        <v>6.02</v>
      </c>
      <c r="L36" s="73">
        <v>1.24</v>
      </c>
      <c r="M36" s="98">
        <f t="shared" si="15"/>
        <v>1366.0377358490566</v>
      </c>
      <c r="N36" s="98">
        <f t="shared" si="16"/>
        <v>1475.1286449399656</v>
      </c>
      <c r="O36" s="98">
        <f t="shared" si="17"/>
        <v>1361.111111111111</v>
      </c>
      <c r="P36" s="98">
        <f t="shared" si="11"/>
        <v>951.0268562401263</v>
      </c>
      <c r="Q36" s="98">
        <f t="shared" si="11"/>
        <v>225.86520947176683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17" s="145" customFormat="1" ht="21" customHeight="1">
      <c r="A37" s="206"/>
      <c r="B37" s="149" t="s">
        <v>4</v>
      </c>
      <c r="C37" s="129">
        <f aca="true" t="shared" si="20" ref="C37:L37">C36+C35</f>
        <v>10.79</v>
      </c>
      <c r="D37" s="129">
        <f t="shared" si="20"/>
        <v>7.99</v>
      </c>
      <c r="E37" s="129">
        <f t="shared" si="20"/>
        <v>8.9</v>
      </c>
      <c r="F37" s="129">
        <f t="shared" si="20"/>
        <v>8.29</v>
      </c>
      <c r="G37" s="129">
        <f t="shared" si="20"/>
        <v>7.45</v>
      </c>
      <c r="H37" s="129">
        <f t="shared" si="20"/>
        <v>14.638000000000002</v>
      </c>
      <c r="I37" s="129">
        <f t="shared" si="20"/>
        <v>12.5</v>
      </c>
      <c r="J37" s="129">
        <f t="shared" si="20"/>
        <v>12.54</v>
      </c>
      <c r="K37" s="129">
        <f t="shared" si="20"/>
        <v>8.79</v>
      </c>
      <c r="L37" s="129">
        <f t="shared" si="20"/>
        <v>2.92</v>
      </c>
      <c r="M37" s="144">
        <f t="shared" si="15"/>
        <v>1356.6265060240967</v>
      </c>
      <c r="N37" s="144">
        <f t="shared" si="16"/>
        <v>1564.4555694618273</v>
      </c>
      <c r="O37" s="144">
        <f t="shared" si="17"/>
        <v>1408.9887640449438</v>
      </c>
      <c r="P37" s="144">
        <f t="shared" si="11"/>
        <v>1060.313630880579</v>
      </c>
      <c r="Q37" s="144">
        <f t="shared" si="11"/>
        <v>391.9463087248322</v>
      </c>
    </row>
    <row r="38" spans="1:72" ht="21" customHeight="1">
      <c r="A38" s="206" t="s">
        <v>116</v>
      </c>
      <c r="B38" s="28" t="s">
        <v>2</v>
      </c>
      <c r="C38" s="73">
        <v>2</v>
      </c>
      <c r="D38" s="73">
        <v>2.02</v>
      </c>
      <c r="E38" s="73">
        <v>1</v>
      </c>
      <c r="F38" s="73">
        <v>1</v>
      </c>
      <c r="G38" s="73">
        <v>1</v>
      </c>
      <c r="H38" s="73">
        <v>2</v>
      </c>
      <c r="I38" s="73">
        <v>2</v>
      </c>
      <c r="J38" s="73">
        <v>1</v>
      </c>
      <c r="K38" s="73">
        <v>1</v>
      </c>
      <c r="L38" s="73">
        <v>1</v>
      </c>
      <c r="M38" s="98">
        <f t="shared" si="15"/>
        <v>1000</v>
      </c>
      <c r="N38" s="98">
        <f t="shared" si="16"/>
        <v>990.09900990099</v>
      </c>
      <c r="O38" s="98">
        <f t="shared" si="17"/>
        <v>1000</v>
      </c>
      <c r="P38" s="98">
        <f t="shared" si="11"/>
        <v>1000</v>
      </c>
      <c r="Q38" s="98">
        <f t="shared" si="11"/>
        <v>1000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21" customHeight="1">
      <c r="A39" s="206"/>
      <c r="B39" s="28" t="s">
        <v>21</v>
      </c>
      <c r="C39" s="73">
        <v>26</v>
      </c>
      <c r="D39" s="73">
        <v>17.98</v>
      </c>
      <c r="E39" s="73">
        <v>17</v>
      </c>
      <c r="F39" s="73">
        <v>11</v>
      </c>
      <c r="G39" s="73">
        <v>5</v>
      </c>
      <c r="H39" s="73">
        <v>30</v>
      </c>
      <c r="I39" s="73">
        <v>17.02</v>
      </c>
      <c r="J39" s="73">
        <v>24</v>
      </c>
      <c r="K39" s="73">
        <v>12</v>
      </c>
      <c r="L39" s="73">
        <v>9</v>
      </c>
      <c r="M39" s="98">
        <f t="shared" si="15"/>
        <v>1153.8461538461538</v>
      </c>
      <c r="N39" s="98">
        <f t="shared" si="16"/>
        <v>946.6073414905451</v>
      </c>
      <c r="O39" s="98">
        <f t="shared" si="17"/>
        <v>1411.764705882353</v>
      </c>
      <c r="P39" s="98">
        <f t="shared" si="11"/>
        <v>1090.9090909090908</v>
      </c>
      <c r="Q39" s="98">
        <f t="shared" si="11"/>
        <v>1800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17" s="145" customFormat="1" ht="21" customHeight="1">
      <c r="A40" s="206"/>
      <c r="B40" s="149" t="s">
        <v>4</v>
      </c>
      <c r="C40" s="129">
        <f aca="true" t="shared" si="21" ref="C40:L40">C39+C38</f>
        <v>28</v>
      </c>
      <c r="D40" s="129">
        <f t="shared" si="21"/>
        <v>20</v>
      </c>
      <c r="E40" s="129">
        <f t="shared" si="21"/>
        <v>18</v>
      </c>
      <c r="F40" s="129">
        <f t="shared" si="21"/>
        <v>12</v>
      </c>
      <c r="G40" s="129">
        <f t="shared" si="21"/>
        <v>6</v>
      </c>
      <c r="H40" s="129">
        <f t="shared" si="21"/>
        <v>32</v>
      </c>
      <c r="I40" s="129">
        <f t="shared" si="21"/>
        <v>19.02</v>
      </c>
      <c r="J40" s="129">
        <f t="shared" si="21"/>
        <v>25</v>
      </c>
      <c r="K40" s="129">
        <f t="shared" si="21"/>
        <v>13</v>
      </c>
      <c r="L40" s="129">
        <f t="shared" si="21"/>
        <v>10</v>
      </c>
      <c r="M40" s="144">
        <f t="shared" si="15"/>
        <v>1142.857142857143</v>
      </c>
      <c r="N40" s="144">
        <f t="shared" si="16"/>
        <v>951</v>
      </c>
      <c r="O40" s="144">
        <f t="shared" si="17"/>
        <v>1388.888888888889</v>
      </c>
      <c r="P40" s="144">
        <f t="shared" si="11"/>
        <v>1083.3333333333333</v>
      </c>
      <c r="Q40" s="144">
        <f t="shared" si="11"/>
        <v>1666.6666666666667</v>
      </c>
    </row>
    <row r="41" spans="1:72" ht="21" customHeight="1">
      <c r="A41" s="2" t="s">
        <v>22</v>
      </c>
      <c r="B41" s="28" t="s">
        <v>3</v>
      </c>
      <c r="C41" s="73">
        <v>3</v>
      </c>
      <c r="D41" s="73">
        <v>3</v>
      </c>
      <c r="E41" s="73">
        <v>3</v>
      </c>
      <c r="F41" s="73">
        <v>2</v>
      </c>
      <c r="G41" s="73">
        <v>3</v>
      </c>
      <c r="H41" s="73">
        <v>4.5</v>
      </c>
      <c r="I41" s="73">
        <v>5</v>
      </c>
      <c r="J41" s="73">
        <v>4</v>
      </c>
      <c r="K41" s="73">
        <v>4</v>
      </c>
      <c r="L41" s="73">
        <v>4</v>
      </c>
      <c r="M41" s="98">
        <f t="shared" si="15"/>
        <v>1500</v>
      </c>
      <c r="N41" s="98">
        <f t="shared" si="16"/>
        <v>1666.6666666666667</v>
      </c>
      <c r="O41" s="98">
        <f t="shared" si="17"/>
        <v>1333.3333333333333</v>
      </c>
      <c r="P41" s="98">
        <f t="shared" si="11"/>
        <v>2000</v>
      </c>
      <c r="Q41" s="98">
        <f t="shared" si="11"/>
        <v>1333.3333333333333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17" s="112" customFormat="1" ht="21" customHeight="1">
      <c r="A42" s="2" t="s">
        <v>23</v>
      </c>
      <c r="B42" s="28" t="s">
        <v>2</v>
      </c>
      <c r="C42" s="73">
        <v>12</v>
      </c>
      <c r="D42" s="73">
        <v>0</v>
      </c>
      <c r="E42" s="73">
        <v>0</v>
      </c>
      <c r="F42" s="73">
        <v>0</v>
      </c>
      <c r="G42" s="73">
        <v>0</v>
      </c>
      <c r="H42" s="73">
        <v>15</v>
      </c>
      <c r="I42" s="73">
        <v>0</v>
      </c>
      <c r="J42" s="73">
        <v>0</v>
      </c>
      <c r="K42" s="73">
        <v>0</v>
      </c>
      <c r="L42" s="73">
        <v>0</v>
      </c>
      <c r="M42" s="98">
        <f aca="true" t="shared" si="22" ref="M42:M47">H42/C42*1000</f>
        <v>1250</v>
      </c>
      <c r="N42" s="98">
        <v>0</v>
      </c>
      <c r="O42" s="98">
        <v>0</v>
      </c>
      <c r="P42" s="98">
        <v>0</v>
      </c>
      <c r="Q42" s="98">
        <v>0</v>
      </c>
    </row>
    <row r="43" spans="1:17" s="112" customFormat="1" ht="21" customHeight="1">
      <c r="A43" s="1"/>
      <c r="B43" s="28" t="s">
        <v>16</v>
      </c>
      <c r="C43" s="24">
        <v>0</v>
      </c>
      <c r="D43" s="73">
        <v>14</v>
      </c>
      <c r="E43" s="73">
        <v>15</v>
      </c>
      <c r="F43" s="73">
        <v>12</v>
      </c>
      <c r="G43" s="73">
        <v>11.5</v>
      </c>
      <c r="H43" s="115">
        <v>0</v>
      </c>
      <c r="I43" s="73">
        <v>20</v>
      </c>
      <c r="J43" s="73">
        <v>22</v>
      </c>
      <c r="K43" s="73">
        <v>17</v>
      </c>
      <c r="L43" s="73">
        <v>15.088</v>
      </c>
      <c r="M43" s="98">
        <v>0</v>
      </c>
      <c r="N43" s="98">
        <f aca="true" t="shared" si="23" ref="N42:N47">I43/D43*1000</f>
        <v>1428.5714285714287</v>
      </c>
      <c r="O43" s="98">
        <f aca="true" t="shared" si="24" ref="O42:O47">J43/E43*1000</f>
        <v>1466.6666666666665</v>
      </c>
      <c r="P43" s="98">
        <f aca="true" t="shared" si="25" ref="P42:P47">K43/F43*1000</f>
        <v>1416.6666666666667</v>
      </c>
      <c r="Q43" s="98">
        <f aca="true" t="shared" si="26" ref="Q42:Q47">L43/G43*1000</f>
        <v>1311.9999999999998</v>
      </c>
    </row>
    <row r="44" spans="1:17" s="152" customFormat="1" ht="21" customHeight="1">
      <c r="A44" s="145"/>
      <c r="B44" s="150" t="s">
        <v>4</v>
      </c>
      <c r="C44" s="151">
        <f>C42+C43</f>
        <v>12</v>
      </c>
      <c r="D44" s="151">
        <f aca="true" t="shared" si="27" ref="D44:L44">D42+D43</f>
        <v>14</v>
      </c>
      <c r="E44" s="151">
        <f t="shared" si="27"/>
        <v>15</v>
      </c>
      <c r="F44" s="151">
        <f t="shared" si="27"/>
        <v>12</v>
      </c>
      <c r="G44" s="151">
        <f t="shared" si="27"/>
        <v>11.5</v>
      </c>
      <c r="H44" s="151">
        <f t="shared" si="27"/>
        <v>15</v>
      </c>
      <c r="I44" s="151">
        <f t="shared" si="27"/>
        <v>20</v>
      </c>
      <c r="J44" s="151">
        <f t="shared" si="27"/>
        <v>22</v>
      </c>
      <c r="K44" s="151">
        <f t="shared" si="27"/>
        <v>17</v>
      </c>
      <c r="L44" s="151">
        <f t="shared" si="27"/>
        <v>15.088</v>
      </c>
      <c r="M44" s="144">
        <f t="shared" si="22"/>
        <v>1250</v>
      </c>
      <c r="N44" s="144">
        <f t="shared" si="23"/>
        <v>1428.5714285714287</v>
      </c>
      <c r="O44" s="144">
        <f t="shared" si="24"/>
        <v>1466.6666666666665</v>
      </c>
      <c r="P44" s="144">
        <f t="shared" si="25"/>
        <v>1416.6666666666667</v>
      </c>
      <c r="Q44" s="144">
        <f t="shared" si="26"/>
        <v>1311.9999999999998</v>
      </c>
    </row>
    <row r="45" spans="1:72" ht="21" customHeight="1">
      <c r="A45" s="205" t="s">
        <v>24</v>
      </c>
      <c r="B45" s="148" t="s">
        <v>2</v>
      </c>
      <c r="C45" s="129">
        <f>C38+C35+C30+C27+C24+C21+C18+C15+C11+C8+C7+C4+C14+C42</f>
        <v>301.06</v>
      </c>
      <c r="D45" s="129">
        <f>D38+D35+D30+D27+D24+D21+D18+D15+D11+D8+D7+D4+D14+D42</f>
        <v>253.08999999999997</v>
      </c>
      <c r="E45" s="129">
        <f aca="true" t="shared" si="28" ref="E45:L45">E38+E35+E30+E27+E24+E21+E18+E15+E11+E8+E7+E4+E14+E42</f>
        <v>216.79</v>
      </c>
      <c r="F45" s="129">
        <f t="shared" si="28"/>
        <v>166.33</v>
      </c>
      <c r="G45" s="129">
        <f t="shared" si="28"/>
        <v>182.284</v>
      </c>
      <c r="H45" s="129">
        <f t="shared" si="28"/>
        <v>187.17000000000002</v>
      </c>
      <c r="I45" s="129">
        <f t="shared" si="28"/>
        <v>166.05</v>
      </c>
      <c r="J45" s="129">
        <f t="shared" si="28"/>
        <v>143.01000000000002</v>
      </c>
      <c r="K45" s="129">
        <f t="shared" si="28"/>
        <v>84.74640000000001</v>
      </c>
      <c r="L45" s="129">
        <f t="shared" si="28"/>
        <v>110.70400000000001</v>
      </c>
      <c r="M45" s="144">
        <f t="shared" si="22"/>
        <v>621.7033149538298</v>
      </c>
      <c r="N45" s="144">
        <f t="shared" si="23"/>
        <v>656.0907187166621</v>
      </c>
      <c r="O45" s="144">
        <f t="shared" si="24"/>
        <v>659.6706490151761</v>
      </c>
      <c r="P45" s="144">
        <f t="shared" si="25"/>
        <v>509.5076053628329</v>
      </c>
      <c r="Q45" s="144">
        <f t="shared" si="26"/>
        <v>607.3160562638521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21" customHeight="1">
      <c r="A46" s="205"/>
      <c r="B46" s="149" t="s">
        <v>21</v>
      </c>
      <c r="C46" s="129">
        <f>C41+C39+C36+C33+C31+C28+C25+C22+C19+C16+C9+C5+C12+C43</f>
        <v>529.453</v>
      </c>
      <c r="D46" s="129">
        <f>D41+D39+D36+D33+D31+D28+D25+D22+D19+D16+D9+D5+D12+D43</f>
        <v>418.41</v>
      </c>
      <c r="E46" s="129">
        <f aca="true" t="shared" si="29" ref="E46:L46">E41+E39+E36+E33+E31+E28+E25+E22+E19+E16+E9+E5+E12+E43</f>
        <v>372.97</v>
      </c>
      <c r="F46" s="129">
        <f t="shared" si="29"/>
        <v>320.461</v>
      </c>
      <c r="G46" s="129">
        <f t="shared" si="29"/>
        <v>198.826</v>
      </c>
      <c r="H46" s="129">
        <f t="shared" si="29"/>
        <v>356.914</v>
      </c>
      <c r="I46" s="129">
        <f t="shared" si="29"/>
        <v>337.89</v>
      </c>
      <c r="J46" s="129">
        <f t="shared" si="29"/>
        <v>291.19</v>
      </c>
      <c r="K46" s="129">
        <f t="shared" si="29"/>
        <v>211.55025</v>
      </c>
      <c r="L46" s="129">
        <f t="shared" si="29"/>
        <v>140.68</v>
      </c>
      <c r="M46" s="144">
        <f t="shared" si="22"/>
        <v>674.118382557092</v>
      </c>
      <c r="N46" s="144">
        <f t="shared" si="23"/>
        <v>807.557180755718</v>
      </c>
      <c r="O46" s="144">
        <f t="shared" si="24"/>
        <v>780.7330348285384</v>
      </c>
      <c r="P46" s="144">
        <f t="shared" si="25"/>
        <v>660.1435120030206</v>
      </c>
      <c r="Q46" s="144">
        <f t="shared" si="26"/>
        <v>707.5533380946154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21" customHeight="1">
      <c r="A47" s="205"/>
      <c r="B47" s="149" t="s">
        <v>4</v>
      </c>
      <c r="C47" s="129">
        <f>C46+C45</f>
        <v>830.5129999999999</v>
      </c>
      <c r="D47" s="129">
        <f>D46+D45</f>
        <v>671.5</v>
      </c>
      <c r="E47" s="129">
        <f aca="true" t="shared" si="30" ref="E47:L47">E46+E45</f>
        <v>589.76</v>
      </c>
      <c r="F47" s="129">
        <f t="shared" si="30"/>
        <v>486.79100000000005</v>
      </c>
      <c r="G47" s="129">
        <f t="shared" si="30"/>
        <v>381.11</v>
      </c>
      <c r="H47" s="129">
        <f t="shared" si="30"/>
        <v>544.0840000000001</v>
      </c>
      <c r="I47" s="129">
        <f t="shared" si="30"/>
        <v>503.94</v>
      </c>
      <c r="J47" s="129">
        <f t="shared" si="30"/>
        <v>434.20000000000005</v>
      </c>
      <c r="K47" s="129">
        <f t="shared" si="30"/>
        <v>296.29665</v>
      </c>
      <c r="L47" s="129">
        <f t="shared" si="30"/>
        <v>251.38400000000001</v>
      </c>
      <c r="M47" s="144">
        <f t="shared" si="22"/>
        <v>655.117981295898</v>
      </c>
      <c r="N47" s="144">
        <f t="shared" si="23"/>
        <v>750.4690990320179</v>
      </c>
      <c r="O47" s="144">
        <f t="shared" si="24"/>
        <v>736.231687466088</v>
      </c>
      <c r="P47" s="144">
        <f t="shared" si="25"/>
        <v>608.6732293735914</v>
      </c>
      <c r="Q47" s="144">
        <f t="shared" si="26"/>
        <v>659.6100863267823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8" customHeight="1">
      <c r="A48" s="58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29.25" customHeight="1">
      <c r="A49" s="3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29.25" customHeight="1">
      <c r="A50" s="3"/>
      <c r="B50" s="3"/>
      <c r="C50" s="1"/>
      <c r="D50" s="1"/>
      <c r="E50" s="1"/>
      <c r="F50" s="1"/>
      <c r="G50" s="1"/>
      <c r="H50" s="11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29.25" customHeight="1">
      <c r="A51" s="3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29.25" customHeight="1">
      <c r="A52" s="3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29.25" customHeight="1">
      <c r="A53" s="3"/>
      <c r="B53" s="3"/>
      <c r="C53" s="10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29.25" customHeight="1">
      <c r="A54" s="3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29.25" customHeight="1">
      <c r="A55" s="3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29.25" customHeight="1">
      <c r="A56" s="3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29.25" customHeight="1">
      <c r="A57" s="3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29.25" customHeight="1">
      <c r="A58" s="3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29.25" customHeight="1">
      <c r="A59" s="3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29.25" customHeight="1">
      <c r="A60" s="3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29.25" customHeight="1">
      <c r="A61" s="3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29.25" customHeight="1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29.25" customHeight="1">
      <c r="A63" s="3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29.25" customHeight="1">
      <c r="A64" s="3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29.25" customHeight="1">
      <c r="A65" s="3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29.25" customHeight="1">
      <c r="A66" s="3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29.25" customHeight="1">
      <c r="A67" s="3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29.25" customHeight="1">
      <c r="A68" s="3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29.25" customHeight="1">
      <c r="A69" s="3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29.25" customHeight="1">
      <c r="A70" s="3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29.25" customHeight="1">
      <c r="A71" s="3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29.25" customHeight="1">
      <c r="A72" s="3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29.25" customHeight="1">
      <c r="A73" s="3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29.25" customHeight="1">
      <c r="A74" s="3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29.25" customHeight="1">
      <c r="A75" s="3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29.25" customHeight="1">
      <c r="A76" s="3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29.25" customHeight="1">
      <c r="A77" s="3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29.25" customHeight="1">
      <c r="A78" s="3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29.25" customHeight="1">
      <c r="A79" s="3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29.25" customHeight="1">
      <c r="A80" s="3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29.25" customHeight="1">
      <c r="A81" s="3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29.25" customHeight="1">
      <c r="A82" s="3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29.25" customHeight="1">
      <c r="A83" s="3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29.25" customHeight="1">
      <c r="A84" s="3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29.25" customHeight="1">
      <c r="A85" s="3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29.25" customHeight="1">
      <c r="A86" s="3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29.25" customHeight="1">
      <c r="A87" s="3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29.25" customHeight="1">
      <c r="A88" s="3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29.25" customHeight="1">
      <c r="A89" s="3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29.25" customHeight="1">
      <c r="A90" s="3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29.25" customHeight="1">
      <c r="A91" s="3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29.25" customHeight="1">
      <c r="A92" s="3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29.25" customHeight="1">
      <c r="A93" s="3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29.25" customHeight="1">
      <c r="A94" s="3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29.25" customHeight="1">
      <c r="A95" s="3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29.25" customHeight="1">
      <c r="A96" s="3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29.25" customHeight="1">
      <c r="A97" s="3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29.25" customHeight="1">
      <c r="A98" s="3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29.25" customHeight="1">
      <c r="A99" s="3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29.25" customHeight="1">
      <c r="A100" s="3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29.25" customHeight="1">
      <c r="A101" s="3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29.25" customHeight="1">
      <c r="A102" s="3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29.25" customHeight="1">
      <c r="A103" s="3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29.25" customHeight="1">
      <c r="A104" s="3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29.25" customHeight="1">
      <c r="A105" s="3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29.25" customHeight="1">
      <c r="A106" s="3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29.25" customHeight="1">
      <c r="A107" s="3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29.25" customHeight="1">
      <c r="A108" s="3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29.25" customHeight="1">
      <c r="A109" s="3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="3" customFormat="1" ht="29.25" customHeight="1"/>
    <row r="111" s="3" customFormat="1" ht="29.25" customHeight="1"/>
    <row r="112" s="3" customFormat="1" ht="29.25" customHeight="1"/>
    <row r="113" s="3" customFormat="1" ht="29.25" customHeight="1"/>
    <row r="114" s="3" customFormat="1" ht="29.25" customHeight="1"/>
    <row r="115" s="3" customFormat="1" ht="29.25" customHeight="1"/>
    <row r="116" s="3" customFormat="1" ht="29.25" customHeight="1"/>
    <row r="117" s="3" customFormat="1" ht="29.25" customHeight="1"/>
    <row r="118" s="3" customFormat="1" ht="29.25" customHeight="1"/>
    <row r="119" s="3" customFormat="1" ht="29.25" customHeight="1"/>
    <row r="120" s="3" customFormat="1" ht="29.25" customHeight="1"/>
    <row r="121" s="3" customFormat="1" ht="29.25" customHeight="1"/>
    <row r="122" s="3" customFormat="1" ht="29.25" customHeight="1"/>
    <row r="123" s="3" customFormat="1" ht="29.25" customHeight="1"/>
    <row r="124" s="3" customFormat="1" ht="29.25" customHeight="1"/>
    <row r="125" s="3" customFormat="1" ht="29.25" customHeight="1"/>
    <row r="126" s="3" customFormat="1" ht="29.25" customHeight="1"/>
    <row r="127" s="3" customFormat="1" ht="29.25" customHeight="1"/>
    <row r="128" s="3" customFormat="1" ht="29.25" customHeight="1"/>
    <row r="129" s="3" customFormat="1" ht="29.25" customHeight="1"/>
    <row r="130" s="3" customFormat="1" ht="29.25" customHeight="1"/>
    <row r="131" s="3" customFormat="1" ht="29.25" customHeight="1"/>
    <row r="132" s="3" customFormat="1" ht="29.25" customHeight="1"/>
    <row r="133" s="3" customFormat="1" ht="29.25" customHeight="1"/>
    <row r="134" s="3" customFormat="1" ht="29.25" customHeight="1"/>
    <row r="135" s="3" customFormat="1" ht="29.25" customHeight="1"/>
    <row r="136" s="3" customFormat="1" ht="29.25" customHeight="1"/>
    <row r="137" s="3" customFormat="1" ht="29.25" customHeight="1"/>
    <row r="138" s="3" customFormat="1" ht="29.25" customHeight="1"/>
    <row r="139" s="3" customFormat="1" ht="29.25" customHeight="1"/>
    <row r="140" s="3" customFormat="1" ht="29.25" customHeight="1"/>
    <row r="141" s="3" customFormat="1" ht="29.25" customHeight="1"/>
    <row r="142" s="3" customFormat="1" ht="29.25" customHeight="1"/>
    <row r="143" s="3" customFormat="1" ht="29.25" customHeight="1"/>
    <row r="144" s="3" customFormat="1" ht="29.25" customHeight="1"/>
    <row r="145" s="3" customFormat="1" ht="29.25" customHeight="1"/>
    <row r="146" s="3" customFormat="1" ht="29.25" customHeight="1"/>
    <row r="147" s="3" customFormat="1" ht="29.25" customHeight="1"/>
    <row r="148" s="3" customFormat="1" ht="29.25" customHeight="1"/>
    <row r="149" s="3" customFormat="1" ht="29.25" customHeight="1"/>
    <row r="150" s="3" customFormat="1" ht="29.25" customHeight="1"/>
    <row r="151" s="3" customFormat="1" ht="29.25" customHeight="1"/>
    <row r="152" s="3" customFormat="1" ht="29.25" customHeight="1"/>
    <row r="153" s="3" customFormat="1" ht="29.25" customHeight="1"/>
    <row r="154" s="3" customFormat="1" ht="29.25" customHeight="1"/>
    <row r="155" s="3" customFormat="1" ht="29.25" customHeight="1"/>
    <row r="156" s="3" customFormat="1" ht="29.25" customHeight="1"/>
    <row r="157" s="3" customFormat="1" ht="29.25" customHeight="1"/>
    <row r="158" s="3" customFormat="1" ht="29.25" customHeight="1"/>
    <row r="159" s="3" customFormat="1" ht="29.25" customHeight="1"/>
    <row r="160" s="3" customFormat="1" ht="29.25" customHeight="1"/>
    <row r="161" s="3" customFormat="1" ht="29.25" customHeight="1"/>
    <row r="162" s="3" customFormat="1" ht="29.25" customHeight="1"/>
    <row r="163" s="3" customFormat="1" ht="29.25" customHeight="1"/>
    <row r="164" s="3" customFormat="1" ht="29.25" customHeight="1"/>
    <row r="165" s="3" customFormat="1" ht="29.25" customHeight="1"/>
    <row r="166" s="3" customFormat="1" ht="29.25" customHeight="1"/>
    <row r="167" s="3" customFormat="1" ht="29.25" customHeight="1"/>
    <row r="168" s="3" customFormat="1" ht="29.25" customHeight="1"/>
    <row r="169" s="3" customFormat="1" ht="29.25" customHeight="1"/>
    <row r="170" s="3" customFormat="1" ht="29.25" customHeight="1"/>
    <row r="171" s="3" customFormat="1" ht="29.25" customHeight="1"/>
    <row r="172" s="3" customFormat="1" ht="29.25" customHeight="1"/>
    <row r="173" s="3" customFormat="1" ht="29.25" customHeight="1"/>
    <row r="174" s="3" customFormat="1" ht="29.25" customHeight="1"/>
    <row r="175" s="3" customFormat="1" ht="29.25" customHeight="1"/>
    <row r="176" s="3" customFormat="1" ht="29.25" customHeight="1"/>
    <row r="177" s="3" customFormat="1" ht="29.25" customHeight="1"/>
    <row r="178" s="3" customFormat="1" ht="29.25" customHeight="1"/>
    <row r="179" s="3" customFormat="1" ht="29.25" customHeight="1"/>
    <row r="180" s="3" customFormat="1" ht="29.25" customHeight="1"/>
    <row r="181" s="3" customFormat="1" ht="29.25" customHeight="1"/>
    <row r="182" s="3" customFormat="1" ht="29.25" customHeight="1"/>
    <row r="183" s="3" customFormat="1" ht="29.25" customHeight="1"/>
    <row r="184" s="3" customFormat="1" ht="29.25" customHeight="1"/>
    <row r="185" s="3" customFormat="1" ht="29.25" customHeight="1"/>
    <row r="186" s="3" customFormat="1" ht="29.25" customHeight="1"/>
    <row r="187" s="3" customFormat="1" ht="29.25" customHeight="1"/>
    <row r="188" s="3" customFormat="1" ht="29.25" customHeight="1"/>
    <row r="189" s="3" customFormat="1" ht="29.25" customHeight="1"/>
    <row r="190" s="3" customFormat="1" ht="29.25" customHeight="1"/>
    <row r="191" s="3" customFormat="1" ht="29.25" customHeight="1"/>
    <row r="192" s="3" customFormat="1" ht="29.25" customHeight="1"/>
    <row r="193" s="3" customFormat="1" ht="29.25" customHeight="1"/>
    <row r="194" s="3" customFormat="1" ht="29.25" customHeight="1"/>
    <row r="195" s="3" customFormat="1" ht="29.25" customHeight="1"/>
    <row r="196" s="3" customFormat="1" ht="29.25" customHeight="1"/>
    <row r="197" s="3" customFormat="1" ht="29.25" customHeight="1"/>
    <row r="198" s="3" customFormat="1" ht="29.25" customHeight="1"/>
    <row r="199" s="3" customFormat="1" ht="29.25" customHeight="1"/>
    <row r="200" s="3" customFormat="1" ht="29.25" customHeight="1"/>
    <row r="201" s="3" customFormat="1" ht="29.25" customHeight="1"/>
    <row r="202" s="3" customFormat="1" ht="29.25" customHeight="1"/>
    <row r="203" s="3" customFormat="1" ht="29.25" customHeight="1"/>
    <row r="204" s="3" customFormat="1" ht="29.25" customHeight="1"/>
    <row r="205" s="3" customFormat="1" ht="29.25" customHeight="1"/>
    <row r="206" s="3" customFormat="1" ht="29.25" customHeight="1"/>
    <row r="207" s="3" customFormat="1" ht="29.25" customHeight="1"/>
    <row r="208" s="3" customFormat="1" ht="29.25" customHeight="1"/>
    <row r="209" s="3" customFormat="1" ht="29.25" customHeight="1"/>
    <row r="210" s="3" customFormat="1" ht="29.25" customHeight="1"/>
    <row r="211" s="3" customFormat="1" ht="29.25" customHeight="1"/>
    <row r="212" s="3" customFormat="1" ht="29.25" customHeight="1"/>
    <row r="213" s="3" customFormat="1" ht="29.25" customHeight="1"/>
    <row r="214" s="3" customFormat="1" ht="29.25" customHeight="1"/>
    <row r="215" s="3" customFormat="1" ht="29.25" customHeight="1"/>
    <row r="216" s="3" customFormat="1" ht="29.25" customHeight="1"/>
    <row r="217" s="3" customFormat="1" ht="29.25" customHeight="1"/>
    <row r="218" s="3" customFormat="1" ht="29.25" customHeight="1"/>
    <row r="219" s="3" customFormat="1" ht="29.25" customHeight="1"/>
    <row r="220" s="3" customFormat="1" ht="29.25" customHeight="1"/>
    <row r="221" s="3" customFormat="1" ht="29.25" customHeight="1"/>
    <row r="222" s="3" customFormat="1" ht="29.25" customHeight="1"/>
    <row r="223" s="3" customFormat="1" ht="29.25" customHeight="1"/>
    <row r="224" s="3" customFormat="1" ht="29.25" customHeight="1"/>
    <row r="225" s="3" customFormat="1" ht="29.25" customHeight="1"/>
    <row r="226" s="3" customFormat="1" ht="29.25" customHeight="1"/>
    <row r="227" s="3" customFormat="1" ht="29.25" customHeight="1"/>
    <row r="228" s="3" customFormat="1" ht="29.25" customHeight="1"/>
    <row r="229" s="3" customFormat="1" ht="29.25" customHeight="1"/>
    <row r="230" s="3" customFormat="1" ht="29.25" customHeight="1"/>
    <row r="231" s="3" customFormat="1" ht="29.25" customHeight="1"/>
    <row r="232" s="3" customFormat="1" ht="29.25" customHeight="1"/>
    <row r="233" s="3" customFormat="1" ht="29.25" customHeight="1"/>
    <row r="234" s="3" customFormat="1" ht="29.25" customHeight="1"/>
    <row r="235" s="3" customFormat="1" ht="29.25" customHeight="1"/>
    <row r="236" s="3" customFormat="1" ht="29.25" customHeight="1"/>
    <row r="237" s="3" customFormat="1" ht="29.25" customHeight="1"/>
    <row r="238" s="3" customFormat="1" ht="29.25" customHeight="1"/>
    <row r="239" s="3" customFormat="1" ht="29.25" customHeight="1"/>
    <row r="240" s="3" customFormat="1" ht="29.25" customHeight="1"/>
    <row r="241" s="3" customFormat="1" ht="29.25" customHeight="1"/>
    <row r="242" s="3" customFormat="1" ht="29.25" customHeight="1"/>
    <row r="243" s="3" customFormat="1" ht="29.25" customHeight="1"/>
    <row r="244" s="3" customFormat="1" ht="29.25" customHeight="1"/>
    <row r="245" s="3" customFormat="1" ht="29.25" customHeight="1"/>
    <row r="246" s="3" customFormat="1" ht="29.25" customHeight="1"/>
    <row r="247" s="3" customFormat="1" ht="29.25" customHeight="1"/>
    <row r="248" s="3" customFormat="1" ht="29.25" customHeight="1"/>
    <row r="249" s="3" customFormat="1" ht="29.25" customHeight="1"/>
    <row r="250" s="3" customFormat="1" ht="29.25" customHeight="1"/>
    <row r="251" s="3" customFormat="1" ht="29.25" customHeight="1"/>
    <row r="252" s="3" customFormat="1" ht="29.25" customHeight="1"/>
    <row r="253" s="3" customFormat="1" ht="29.25" customHeight="1"/>
    <row r="254" s="3" customFormat="1" ht="29.25" customHeight="1"/>
    <row r="255" s="3" customFormat="1" ht="29.25" customHeight="1"/>
    <row r="256" s="3" customFormat="1" ht="29.25" customHeight="1"/>
    <row r="257" s="3" customFormat="1" ht="29.25" customHeight="1"/>
    <row r="258" s="3" customFormat="1" ht="29.25" customHeight="1"/>
    <row r="259" s="3" customFormat="1" ht="29.25" customHeight="1"/>
    <row r="260" s="3" customFormat="1" ht="29.25" customHeight="1"/>
    <row r="261" s="3" customFormat="1" ht="29.25" customHeight="1"/>
    <row r="262" s="3" customFormat="1" ht="29.25" customHeight="1"/>
    <row r="263" s="3" customFormat="1" ht="29.25" customHeight="1"/>
    <row r="264" s="3" customFormat="1" ht="29.25" customHeight="1"/>
    <row r="265" s="3" customFormat="1" ht="29.25" customHeight="1"/>
    <row r="266" s="3" customFormat="1" ht="29.25" customHeight="1"/>
    <row r="267" s="3" customFormat="1" ht="29.25" customHeight="1"/>
    <row r="268" s="3" customFormat="1" ht="29.25" customHeight="1"/>
    <row r="269" s="3" customFormat="1" ht="29.25" customHeight="1"/>
    <row r="270" s="3" customFormat="1" ht="29.25" customHeight="1"/>
    <row r="271" s="3" customFormat="1" ht="29.25" customHeight="1"/>
  </sheetData>
  <sheetProtection/>
  <mergeCells count="18">
    <mergeCell ref="A24:A26"/>
    <mergeCell ref="A1:Q1"/>
    <mergeCell ref="A27:A29"/>
    <mergeCell ref="A15:A17"/>
    <mergeCell ref="M2:Q2"/>
    <mergeCell ref="H2:L2"/>
    <mergeCell ref="C2:G2"/>
    <mergeCell ref="A11:A13"/>
    <mergeCell ref="A45:A47"/>
    <mergeCell ref="A35:A37"/>
    <mergeCell ref="B2:B3"/>
    <mergeCell ref="A21:A23"/>
    <mergeCell ref="A4:A6"/>
    <mergeCell ref="A30:A32"/>
    <mergeCell ref="A2:A3"/>
    <mergeCell ref="A18:A20"/>
    <mergeCell ref="A8:A10"/>
    <mergeCell ref="A38:A40"/>
  </mergeCells>
  <printOptions horizontalCentered="1" verticalCentered="1"/>
  <pageMargins left="0.5118110236220472" right="0.5118110236220472" top="0.2362204724409449" bottom="0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Ajay Gupta</dc:creator>
  <cp:keywords/>
  <dc:description/>
  <cp:lastModifiedBy>Division</cp:lastModifiedBy>
  <cp:lastPrinted>2018-05-23T11:05:51Z</cp:lastPrinted>
  <dcterms:created xsi:type="dcterms:W3CDTF">2004-03-23T07:05:13Z</dcterms:created>
  <dcterms:modified xsi:type="dcterms:W3CDTF">2018-05-30T08:54:39Z</dcterms:modified>
  <cp:category/>
  <cp:version/>
  <cp:contentType/>
  <cp:contentStatus/>
</cp:coreProperties>
</file>